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S:\CoS\0 - New File Structure\1 - CoS Management\6 - Design Builder\"/>
    </mc:Choice>
  </mc:AlternateContent>
  <xr:revisionPtr revIDLastSave="0" documentId="13_ncr:1_{49080AFF-82CF-409E-AF29-6A681D4DD6A9}" xr6:coauthVersionLast="47" xr6:coauthVersionMax="47" xr10:uidLastSave="{00000000-0000-0000-0000-000000000000}"/>
  <bookViews>
    <workbookView xWindow="-96" yWindow="-84" windowWidth="23232" windowHeight="12420" tabRatio="570" activeTab="10" xr2:uid="{00000000-000D-0000-FFFF-FFFF00000000}"/>
  </bookViews>
  <sheets>
    <sheet name="Introduction" sheetId="10" r:id="rId1"/>
    <sheet name="Sheet4" sheetId="8" state="hidden" r:id="rId2"/>
    <sheet name="FloorPlans" sheetId="9" state="hidden" r:id="rId3"/>
    <sheet name="COS" sheetId="3" r:id="rId4"/>
    <sheet name="DONOTTOUCH" sheetId="4" state="hidden" r:id="rId5"/>
    <sheet name="envelope" sheetId="6" state="hidden" r:id="rId6"/>
    <sheet name="DropdownsDNT" sheetId="2" state="hidden" r:id="rId7"/>
    <sheet name="Sheet1" sheetId="15" state="hidden" r:id="rId8"/>
    <sheet name="Roofs" sheetId="13" state="hidden" r:id="rId9"/>
    <sheet name="Project_Data_Input" sheetId="7" state="hidden" r:id="rId10"/>
    <sheet name="CommentsRevisions" sheetId="14" r:id="rId11"/>
  </sheets>
  <externalReferences>
    <externalReference r:id="rId12"/>
  </externalReferences>
  <definedNames>
    <definedName name="Image">INDIRECT("Project_Data_Input!$A$"&amp;VLOOKUP(DropdownsDNT!$H$36, DONOTTOUCH!$T$1:$V$20,2,0))</definedName>
    <definedName name="Image2">INDIRECT("envelope!$A$"&amp;VLOOKUP(DONOTTOUCH!$C$1, DropdownsDNT!$C$3:$D$12,2,0))</definedName>
    <definedName name="Image3">INDIRECT("floorplans!$A$"&amp;VLOOKUP(DONOTTOUCH!$C$1, DropdownsDNT!$C$2:$D$10,2,0))</definedName>
    <definedName name="Image4Roof">INDIRECT("Roofs!$A$"&amp;VLOOKUP(DropdownsDNT!$W$16, DropdownsDNT!$S$1:$T$10,2,0))</definedName>
    <definedName name="List">OFFSET(DONOTTOUCH!$T$1,0,0,COUNTA(DONOTTOUCH!$T:$T),1)</definedName>
    <definedName name="List2">OFFSET([1]DropdownsDNT!$C$1,0,0,COUNTA([1]DropdownsDNT!$C:$C),1)</definedName>
    <definedName name="List3">OFFSET(DropdownsDNT!$C$1,0,0,COUNTA(DropdownsDNT!$C:$C),1)</definedName>
    <definedName name="ListRoofs">OFFSET(DropdownsDNT!$S$1,0,0,COUNTA(DropdownsDNT!$S:$S),1)</definedName>
    <definedName name="_xlnm.Print_Area" localSheetId="3">COS!$G$1:$O$42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 i="3" l="1"/>
  <c r="K50" i="2"/>
  <c r="K58" i="2"/>
  <c r="E1" i="4" l="1"/>
  <c r="H58" i="2"/>
  <c r="B49" i="4"/>
  <c r="I58" i="2"/>
  <c r="J1" i="4"/>
  <c r="C1" i="4"/>
  <c r="F58" i="2"/>
  <c r="E58" i="2"/>
  <c r="J58" i="2" s="1"/>
  <c r="J57" i="2"/>
  <c r="K57" i="2"/>
  <c r="H57" i="2"/>
  <c r="B48" i="4"/>
  <c r="D71" i="2" l="1"/>
  <c r="M28" i="3" s="1"/>
  <c r="AK5" i="4"/>
  <c r="D1" i="4"/>
  <c r="N5" i="4" s="1"/>
  <c r="D69" i="2"/>
  <c r="D70" i="2"/>
  <c r="N44" i="7"/>
  <c r="L44" i="7" s="1"/>
  <c r="M44" i="7"/>
  <c r="M43" i="7"/>
  <c r="N43" i="7" s="1"/>
  <c r="L43" i="7" s="1"/>
  <c r="M42" i="7"/>
  <c r="N42" i="7" s="1"/>
  <c r="L42" i="7" s="1"/>
  <c r="M41" i="7"/>
  <c r="N41" i="7" s="1"/>
  <c r="L41" i="7" s="1"/>
  <c r="M40" i="7"/>
  <c r="N40" i="7" s="1"/>
  <c r="L40" i="7" s="1"/>
  <c r="M39" i="7"/>
  <c r="N39" i="7" s="1"/>
  <c r="L39" i="7" s="1"/>
  <c r="M38" i="7"/>
  <c r="N38" i="7" s="1"/>
  <c r="L38" i="7" s="1"/>
  <c r="N37" i="7"/>
  <c r="L37" i="7" s="1"/>
  <c r="M37" i="7"/>
  <c r="N36" i="7"/>
  <c r="L36" i="7" s="1"/>
  <c r="M36" i="7"/>
  <c r="M35" i="7"/>
  <c r="N35" i="7" s="1"/>
  <c r="L35" i="7" s="1"/>
  <c r="M34" i="7"/>
  <c r="N34" i="7" s="1"/>
  <c r="L34" i="7" s="1"/>
  <c r="M33" i="7"/>
  <c r="N33" i="7" s="1"/>
  <c r="L33" i="7" s="1"/>
  <c r="M32" i="7"/>
  <c r="N32" i="7" s="1"/>
  <c r="L32" i="7" s="1"/>
  <c r="M31" i="7"/>
  <c r="N31" i="7" s="1"/>
  <c r="L31" i="7" s="1"/>
  <c r="M30" i="7"/>
  <c r="N30" i="7" s="1"/>
  <c r="L30" i="7" s="1"/>
  <c r="N29" i="7"/>
  <c r="L29" i="7" s="1"/>
  <c r="M29" i="7"/>
  <c r="N28" i="7"/>
  <c r="L28" i="7" s="1"/>
  <c r="M28" i="7"/>
  <c r="M27" i="7"/>
  <c r="N27" i="7" s="1"/>
  <c r="L27" i="7" s="1"/>
  <c r="M26" i="7"/>
  <c r="N26" i="7" s="1"/>
  <c r="L26" i="7" s="1"/>
  <c r="M25" i="7"/>
  <c r="N25" i="7" s="1"/>
  <c r="M24" i="7"/>
  <c r="N24" i="7" s="1"/>
  <c r="L24" i="7" s="1"/>
  <c r="M23" i="7"/>
  <c r="N23" i="7" s="1"/>
  <c r="L23" i="7" s="1"/>
  <c r="M22" i="7"/>
  <c r="N22" i="7" s="1"/>
  <c r="L22" i="7" s="1"/>
  <c r="M21" i="7"/>
  <c r="N21" i="7" s="1"/>
  <c r="L21" i="7" s="1"/>
  <c r="M20" i="7"/>
  <c r="N20" i="7" s="1"/>
  <c r="L20" i="7" s="1"/>
  <c r="M19" i="7"/>
  <c r="N19" i="7" s="1"/>
  <c r="L19" i="7" s="1"/>
  <c r="N18" i="7"/>
  <c r="L18" i="7" s="1"/>
  <c r="M18" i="7"/>
  <c r="N17" i="7"/>
  <c r="L17" i="7" s="1"/>
  <c r="M17" i="7"/>
  <c r="N16" i="7"/>
  <c r="L16" i="7"/>
  <c r="N15" i="7"/>
  <c r="L15" i="7" s="1"/>
  <c r="N14" i="7"/>
  <c r="L14" i="7"/>
  <c r="N13" i="7"/>
  <c r="L13" i="7"/>
  <c r="N12" i="7"/>
  <c r="L12" i="7"/>
  <c r="N11" i="7"/>
  <c r="L11" i="7" s="1"/>
  <c r="N10" i="7"/>
  <c r="L10" i="7"/>
  <c r="N9" i="7"/>
  <c r="L9" i="7"/>
  <c r="N8" i="7"/>
  <c r="L8" i="7"/>
  <c r="N7" i="7"/>
  <c r="L7" i="7" s="1"/>
  <c r="N6" i="7"/>
  <c r="L6" i="7"/>
  <c r="K56" i="2"/>
  <c r="J56" i="2"/>
  <c r="H56" i="2"/>
  <c r="K55" i="2"/>
  <c r="J55" i="2"/>
  <c r="H55" i="2"/>
  <c r="K54" i="2"/>
  <c r="J54" i="2"/>
  <c r="H54" i="2"/>
  <c r="K53" i="2"/>
  <c r="J53" i="2"/>
  <c r="H53" i="2"/>
  <c r="K52" i="2"/>
  <c r="J52" i="2"/>
  <c r="F52" i="2"/>
  <c r="H52" i="2" s="1"/>
  <c r="K51" i="2"/>
  <c r="J51" i="2"/>
  <c r="H51" i="2"/>
  <c r="J50" i="2"/>
  <c r="H50" i="2"/>
  <c r="F48" i="2"/>
  <c r="I36" i="3" s="1"/>
  <c r="R17" i="2"/>
  <c r="S13" i="2" s="1"/>
  <c r="S11" i="2"/>
  <c r="AC2" i="2"/>
  <c r="N2" i="2"/>
  <c r="N15" i="3" s="1"/>
  <c r="O1" i="2"/>
  <c r="I35" i="3" s="1"/>
  <c r="L46" i="4"/>
  <c r="J46" i="4"/>
  <c r="I46" i="4"/>
  <c r="H46" i="4"/>
  <c r="F46" i="4"/>
  <c r="E46" i="4"/>
  <c r="C46" i="4"/>
  <c r="J45" i="4"/>
  <c r="I45" i="4"/>
  <c r="H45" i="4"/>
  <c r="F45" i="4"/>
  <c r="C45" i="4"/>
  <c r="G59" i="2"/>
  <c r="Q11" i="2"/>
  <c r="V18" i="2" s="1"/>
  <c r="D1" i="6"/>
  <c r="D1" i="9"/>
  <c r="K34" i="3" l="1"/>
  <c r="N47" i="4"/>
  <c r="N20" i="3"/>
  <c r="N8" i="4"/>
  <c r="N12" i="4"/>
  <c r="N16" i="4"/>
  <c r="K35" i="3"/>
  <c r="V23" i="2"/>
  <c r="V22" i="2"/>
  <c r="V19" i="2"/>
  <c r="V33" i="2"/>
  <c r="V32" i="2"/>
  <c r="V31" i="2"/>
  <c r="V30" i="2"/>
  <c r="V21" i="2"/>
  <c r="V29" i="2"/>
  <c r="V28" i="2"/>
  <c r="V27" i="2"/>
  <c r="V26" i="2"/>
  <c r="V20" i="2"/>
  <c r="V25" i="2"/>
  <c r="V24" i="2"/>
  <c r="N24" i="4"/>
  <c r="N41" i="4"/>
  <c r="K37" i="3"/>
  <c r="N20" i="4"/>
  <c r="N35" i="4"/>
  <c r="N36" i="4"/>
  <c r="N30" i="4"/>
  <c r="N42" i="4"/>
  <c r="N6" i="4"/>
  <c r="N9" i="4"/>
  <c r="N13" i="4"/>
  <c r="N17" i="4"/>
  <c r="N21" i="4"/>
  <c r="N25" i="4"/>
  <c r="N31" i="4"/>
  <c r="N37" i="4"/>
  <c r="N43" i="4"/>
  <c r="N29" i="4"/>
  <c r="N2" i="4"/>
  <c r="N3" i="4"/>
  <c r="N10" i="4"/>
  <c r="N14" i="4"/>
  <c r="N18" i="4"/>
  <c r="N22" i="4"/>
  <c r="N26" i="4"/>
  <c r="N32" i="4"/>
  <c r="N38" i="4"/>
  <c r="N44" i="4"/>
  <c r="N45" i="4"/>
  <c r="N7" i="4"/>
  <c r="N4" i="4"/>
  <c r="N27" i="4"/>
  <c r="N33" i="4"/>
  <c r="N39" i="4"/>
  <c r="N46" i="4"/>
  <c r="N11" i="4"/>
  <c r="N15" i="4"/>
  <c r="N19" i="4"/>
  <c r="N23" i="4"/>
  <c r="N28" i="4"/>
  <c r="N34" i="4"/>
  <c r="N40" i="4"/>
  <c r="O3" i="4" l="1"/>
  <c r="Q3" i="4" s="1"/>
  <c r="O21" i="4"/>
  <c r="Q21" i="4" s="1"/>
  <c r="X21" i="2"/>
  <c r="Y21" i="2" s="1"/>
  <c r="Z21" i="2" s="1"/>
  <c r="X18" i="2"/>
  <c r="Y18" i="2" s="1"/>
  <c r="Z18" i="2" s="1"/>
  <c r="X19" i="2"/>
  <c r="Y19" i="2" s="1"/>
  <c r="Z19" i="2" s="1"/>
  <c r="X20" i="2"/>
  <c r="Y20" i="2" s="1"/>
  <c r="Z20" i="2" s="1"/>
  <c r="O40" i="4"/>
  <c r="O34" i="4"/>
  <c r="O28" i="4"/>
  <c r="O23" i="4"/>
  <c r="Q23" i="4" s="1"/>
  <c r="O19" i="4"/>
  <c r="Q19" i="4" s="1"/>
  <c r="O15" i="4"/>
  <c r="Q15" i="4" s="1"/>
  <c r="O11" i="4"/>
  <c r="Q11" i="4" s="1"/>
  <c r="O33" i="4"/>
  <c r="O27" i="4"/>
  <c r="O4" i="4"/>
  <c r="Q4" i="4" s="1"/>
  <c r="O39" i="4"/>
  <c r="O45" i="4"/>
  <c r="O7" i="4"/>
  <c r="Q7" i="4" s="1"/>
  <c r="O22" i="4"/>
  <c r="Q22" i="4" s="1"/>
  <c r="O10" i="4"/>
  <c r="Q10" i="4" s="1"/>
  <c r="O8" i="4"/>
  <c r="Q8" i="4" s="1"/>
  <c r="O44" i="4"/>
  <c r="O38" i="4"/>
  <c r="O32" i="4"/>
  <c r="O26" i="4"/>
  <c r="O18" i="4"/>
  <c r="Q18" i="4" s="1"/>
  <c r="O14" i="4"/>
  <c r="Q14" i="4" s="1"/>
  <c r="O2" i="4"/>
  <c r="Q2" i="4" s="1"/>
  <c r="O43" i="4"/>
  <c r="O37" i="4"/>
  <c r="O31" i="4"/>
  <c r="O6" i="4"/>
  <c r="Q6" i="4" s="1"/>
  <c r="O25" i="4"/>
  <c r="Q25" i="4" s="1"/>
  <c r="O17" i="4"/>
  <c r="Q17" i="4" s="1"/>
  <c r="O13" i="4"/>
  <c r="Q13" i="4" s="1"/>
  <c r="O9" i="4"/>
  <c r="Q9" i="4" s="1"/>
  <c r="O5" i="4"/>
  <c r="Q5" i="4" s="1"/>
  <c r="O42" i="4"/>
  <c r="O36" i="4"/>
  <c r="O30" i="4"/>
  <c r="O41" i="4"/>
  <c r="O35" i="4"/>
  <c r="O29" i="4"/>
  <c r="O24" i="4"/>
  <c r="Q24" i="4" s="1"/>
  <c r="O20" i="4"/>
  <c r="Q20" i="4" s="1"/>
  <c r="O16" i="4"/>
  <c r="Q16" i="4" s="1"/>
  <c r="O12" i="4"/>
  <c r="Q12" i="4" s="1"/>
  <c r="A1" i="4" l="1"/>
  <c r="Z20" i="4"/>
  <c r="Y20" i="4"/>
  <c r="X20" i="4"/>
  <c r="W20" i="4"/>
  <c r="V20" i="4"/>
  <c r="U20" i="4"/>
  <c r="S20" i="4"/>
  <c r="AA20" i="4"/>
  <c r="R20" i="4"/>
  <c r="T20" i="4" s="1"/>
  <c r="AC20" i="4"/>
  <c r="AB20" i="4"/>
  <c r="AC15" i="4"/>
  <c r="AB15" i="4"/>
  <c r="AA15" i="4"/>
  <c r="Z15" i="4"/>
  <c r="Y15" i="4"/>
  <c r="X15" i="4"/>
  <c r="W15" i="4"/>
  <c r="R15" i="4"/>
  <c r="T15" i="4" s="1"/>
  <c r="V15" i="4"/>
  <c r="U15" i="4"/>
  <c r="S15" i="4"/>
  <c r="Z16" i="4"/>
  <c r="Y16" i="4"/>
  <c r="X16" i="4"/>
  <c r="W16" i="4"/>
  <c r="V16" i="4"/>
  <c r="U16" i="4"/>
  <c r="S16" i="4"/>
  <c r="R16" i="4"/>
  <c r="T16" i="4" s="1"/>
  <c r="AC16" i="4"/>
  <c r="AB16" i="4"/>
  <c r="AA16" i="4"/>
  <c r="AC19" i="4"/>
  <c r="AB19" i="4"/>
  <c r="AA19" i="4"/>
  <c r="Z19" i="4"/>
  <c r="Y19" i="4"/>
  <c r="X19" i="4"/>
  <c r="W19" i="4"/>
  <c r="V19" i="4"/>
  <c r="U19" i="4"/>
  <c r="S19" i="4"/>
  <c r="R19" i="4"/>
  <c r="T19" i="4" s="1"/>
  <c r="AC11" i="4"/>
  <c r="AB11" i="4"/>
  <c r="AA11" i="4"/>
  <c r="Z11" i="4"/>
  <c r="Y11" i="4"/>
  <c r="R11" i="4"/>
  <c r="T11" i="4" s="1"/>
  <c r="X11" i="4"/>
  <c r="W11" i="4"/>
  <c r="V11" i="4"/>
  <c r="U11" i="4"/>
  <c r="S11" i="4"/>
  <c r="AC23" i="4"/>
  <c r="AB23" i="4"/>
  <c r="AA23" i="4"/>
  <c r="Z23" i="4"/>
  <c r="Y23" i="4"/>
  <c r="X23" i="4"/>
  <c r="W23" i="4"/>
  <c r="V23" i="4"/>
  <c r="U23" i="4"/>
  <c r="T23" i="4"/>
  <c r="R23" i="4"/>
  <c r="S23" i="4"/>
  <c r="Z12" i="4"/>
  <c r="Y12" i="4"/>
  <c r="X12" i="4"/>
  <c r="W12" i="4"/>
  <c r="V12" i="4"/>
  <c r="U12" i="4"/>
  <c r="S12" i="4"/>
  <c r="R12" i="4"/>
  <c r="T12" i="4" s="1"/>
  <c r="AC12" i="4"/>
  <c r="AB12" i="4"/>
  <c r="AA12" i="4"/>
  <c r="W25" i="4"/>
  <c r="V25" i="4"/>
  <c r="U25" i="4"/>
  <c r="T25" i="4"/>
  <c r="S25" i="4"/>
  <c r="R25" i="4"/>
  <c r="AC25" i="4"/>
  <c r="AB25" i="4"/>
  <c r="AA25" i="4"/>
  <c r="Z25" i="4"/>
  <c r="Y25" i="4"/>
  <c r="X25" i="4"/>
  <c r="S10" i="4"/>
  <c r="R10" i="4"/>
  <c r="T10" i="4" s="1"/>
  <c r="AC10" i="4"/>
  <c r="AB10" i="4"/>
  <c r="AA10" i="4"/>
  <c r="Z10" i="4"/>
  <c r="Y10" i="4"/>
  <c r="U10" i="4"/>
  <c r="X10" i="4"/>
  <c r="W10" i="4"/>
  <c r="V10" i="4"/>
  <c r="W13" i="4"/>
  <c r="V13" i="4"/>
  <c r="U13" i="4"/>
  <c r="S13" i="4"/>
  <c r="X13" i="4"/>
  <c r="R13" i="4"/>
  <c r="T13" i="4" s="1"/>
  <c r="AC13" i="4"/>
  <c r="AB13" i="4"/>
  <c r="AA13" i="4"/>
  <c r="Z13" i="4"/>
  <c r="Y13" i="4"/>
  <c r="W21" i="4"/>
  <c r="V21" i="4"/>
  <c r="U21" i="4"/>
  <c r="T21" i="4"/>
  <c r="S21" i="4"/>
  <c r="R21" i="4"/>
  <c r="AC21" i="4"/>
  <c r="AB21" i="4"/>
  <c r="AA21" i="4"/>
  <c r="Z21" i="4"/>
  <c r="Y21" i="4"/>
  <c r="X21" i="4"/>
  <c r="W6" i="4"/>
  <c r="V6" i="4"/>
  <c r="U6" i="4"/>
  <c r="S6" i="4"/>
  <c r="X6" i="4"/>
  <c r="R6" i="4"/>
  <c r="T6" i="4" s="1"/>
  <c r="AC6" i="4"/>
  <c r="AB6" i="4"/>
  <c r="AA6" i="4"/>
  <c r="Y6" i="4"/>
  <c r="Z6" i="4"/>
  <c r="T22" i="4"/>
  <c r="S22" i="4"/>
  <c r="R22" i="4"/>
  <c r="AC22" i="4"/>
  <c r="U22" i="4"/>
  <c r="AB22" i="4"/>
  <c r="AA22" i="4"/>
  <c r="Z22" i="4"/>
  <c r="Y22" i="4"/>
  <c r="X22" i="4"/>
  <c r="W22" i="4"/>
  <c r="V22" i="4"/>
  <c r="Z24" i="4"/>
  <c r="Y24" i="4"/>
  <c r="X24" i="4"/>
  <c r="W24" i="4"/>
  <c r="V24" i="4"/>
  <c r="AA24" i="4"/>
  <c r="U24" i="4"/>
  <c r="T24" i="4"/>
  <c r="S24" i="4"/>
  <c r="R24" i="4"/>
  <c r="AC24" i="4"/>
  <c r="AB24" i="4"/>
  <c r="AA8" i="4"/>
  <c r="Z8" i="4"/>
  <c r="Y8" i="4"/>
  <c r="X8" i="4"/>
  <c r="W8" i="4"/>
  <c r="V8" i="4"/>
  <c r="U8" i="4"/>
  <c r="AB8" i="4"/>
  <c r="S8" i="4"/>
  <c r="R8" i="4"/>
  <c r="T8" i="4" s="1"/>
  <c r="AC8" i="4"/>
  <c r="S7" i="4"/>
  <c r="R7" i="4"/>
  <c r="T7" i="4" s="1"/>
  <c r="AC7" i="4"/>
  <c r="AB7" i="4"/>
  <c r="AA7" i="4"/>
  <c r="Z7" i="4"/>
  <c r="Y7" i="4"/>
  <c r="X7" i="4"/>
  <c r="W7" i="4"/>
  <c r="V7" i="4"/>
  <c r="U7" i="4"/>
  <c r="U3" i="4"/>
  <c r="S3" i="4"/>
  <c r="R3" i="4"/>
  <c r="T3" i="4" s="1"/>
  <c r="AC3" i="4"/>
  <c r="V3" i="4"/>
  <c r="AB3" i="4"/>
  <c r="AA3" i="4"/>
  <c r="Z3" i="4"/>
  <c r="M1" i="4"/>
  <c r="Y3" i="4"/>
  <c r="X3" i="4"/>
  <c r="W3" i="4"/>
  <c r="W17" i="4"/>
  <c r="V17" i="4"/>
  <c r="U17" i="4"/>
  <c r="S17" i="4"/>
  <c r="R17" i="4"/>
  <c r="T17" i="4" s="1"/>
  <c r="AC17" i="4"/>
  <c r="AB17" i="4"/>
  <c r="AA17" i="4"/>
  <c r="Z17" i="4"/>
  <c r="Y17" i="4"/>
  <c r="X17" i="4"/>
  <c r="U2" i="4"/>
  <c r="S2" i="4"/>
  <c r="R2" i="4"/>
  <c r="T2" i="4" s="1"/>
  <c r="AC2" i="4"/>
  <c r="AB2" i="4"/>
  <c r="V2" i="4"/>
  <c r="AA2" i="4"/>
  <c r="Z2" i="4"/>
  <c r="Y2" i="4"/>
  <c r="X2" i="4"/>
  <c r="W2" i="4"/>
  <c r="W16" i="2"/>
  <c r="AA5" i="4"/>
  <c r="Z5" i="4"/>
  <c r="Y5" i="4"/>
  <c r="X5" i="4"/>
  <c r="W5" i="4"/>
  <c r="V5" i="4"/>
  <c r="U5" i="4"/>
  <c r="AB5" i="4"/>
  <c r="S5" i="4"/>
  <c r="R5" i="4"/>
  <c r="T5" i="4" s="1"/>
  <c r="AC5" i="4"/>
  <c r="S14" i="4"/>
  <c r="R14" i="4"/>
  <c r="T14" i="4" s="1"/>
  <c r="AC14" i="4"/>
  <c r="AB14" i="4"/>
  <c r="U14" i="4"/>
  <c r="AA14" i="4"/>
  <c r="Z14" i="4"/>
  <c r="Y14" i="4"/>
  <c r="X14" i="4"/>
  <c r="W14" i="4"/>
  <c r="V14" i="4"/>
  <c r="R4" i="4"/>
  <c r="T4" i="4" s="1"/>
  <c r="AC4" i="4"/>
  <c r="AB4" i="4"/>
  <c r="AA4" i="4"/>
  <c r="Z4" i="4"/>
  <c r="S4" i="4"/>
  <c r="Y4" i="4"/>
  <c r="X4" i="4"/>
  <c r="W4" i="4"/>
  <c r="V4" i="4"/>
  <c r="U4" i="4"/>
  <c r="W9" i="4"/>
  <c r="V9" i="4"/>
  <c r="U9" i="4"/>
  <c r="S9" i="4"/>
  <c r="X9" i="4"/>
  <c r="R9" i="4"/>
  <c r="T9" i="4" s="1"/>
  <c r="AC9" i="4"/>
  <c r="AB9" i="4"/>
  <c r="AA9" i="4"/>
  <c r="Z9" i="4"/>
  <c r="Y9" i="4"/>
  <c r="S18" i="4"/>
  <c r="R18" i="4"/>
  <c r="T18" i="4" s="1"/>
  <c r="AC18" i="4"/>
  <c r="AB18" i="4"/>
  <c r="AA18" i="4"/>
  <c r="Z18" i="4"/>
  <c r="Y18" i="4"/>
  <c r="X18" i="4"/>
  <c r="W18" i="4"/>
  <c r="U18" i="4"/>
  <c r="V18" i="4"/>
  <c r="AK6" i="4" l="1"/>
  <c r="N19" i="3" s="1"/>
  <c r="L1" i="4"/>
  <c r="N17" i="3" s="1"/>
  <c r="H36" i="2"/>
  <c r="X16" i="2"/>
  <c r="I34" i="3"/>
  <c r="M11" i="3" l="1"/>
  <c r="I37" i="3" s="1"/>
  <c r="F1" i="4"/>
  <c r="AD2" i="4" s="1"/>
  <c r="AG2" i="4" l="1"/>
  <c r="AE2" i="4"/>
  <c r="AF2" i="4"/>
  <c r="AK2" i="4"/>
  <c r="AK7" i="4" s="1"/>
  <c r="AK8" i="4" s="1"/>
  <c r="N16" i="3" s="1"/>
  <c r="AL2" i="4"/>
  <c r="AI2" i="4"/>
  <c r="AH2" i="4"/>
  <c r="N22" i="3" l="1"/>
  <c r="N24" i="3" s="1"/>
  <c r="AM2" i="4"/>
  <c r="N2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Wougk, Lauren E CIV (USA)</author>
  </authors>
  <commentList>
    <comment ref="L6" authorId="0" shapeId="0" xr:uid="{00000000-0006-0000-0500-000001000000}">
      <text>
        <r>
          <rPr>
            <b/>
            <sz val="9"/>
            <color indexed="81"/>
            <rFont val="Tahoma"/>
            <family val="2"/>
          </rPr>
          <t>Wougk, Lauren E CIV (USA):</t>
        </r>
        <r>
          <rPr>
            <sz val="9"/>
            <color indexed="81"/>
            <rFont val="Tahoma"/>
            <family val="2"/>
          </rPr>
          <t xml:space="preserve">
I believe this column is for troop labor construction cost</t>
        </r>
      </text>
    </comment>
    <comment ref="M6" authorId="0" shapeId="0" xr:uid="{00000000-0006-0000-0500-000002000000}">
      <text>
        <r>
          <rPr>
            <b/>
            <sz val="9"/>
            <color indexed="81"/>
            <rFont val="Tahoma"/>
            <family val="2"/>
          </rPr>
          <t>Wougk, Lauren E CIV (USA):</t>
        </r>
        <r>
          <rPr>
            <sz val="9"/>
            <color indexed="81"/>
            <rFont val="Tahoma"/>
            <family val="2"/>
          </rPr>
          <t xml:space="preserve">
I believe this column is for contractor labor construction cost</t>
        </r>
      </text>
    </comment>
  </commentList>
</comments>
</file>

<file path=xl/sharedStrings.xml><?xml version="1.0" encoding="utf-8"?>
<sst xmlns="http://schemas.openxmlformats.org/spreadsheetml/2006/main" count="858" uniqueCount="403">
  <si>
    <t>ProjectWise Location</t>
  </si>
  <si>
    <t>Facility Type</t>
  </si>
  <si>
    <t>Design Type</t>
  </si>
  <si>
    <t>Egypt</t>
  </si>
  <si>
    <t>Headquarters</t>
  </si>
  <si>
    <t>Housing</t>
  </si>
  <si>
    <t>Saudi Arabia</t>
  </si>
  <si>
    <t>Order Of Entry</t>
  </si>
  <si>
    <t>Project Title</t>
  </si>
  <si>
    <t>Area</t>
  </si>
  <si>
    <t>Rough Order of Magnitude (ROM)</t>
  </si>
  <si>
    <t>$/Unit</t>
  </si>
  <si>
    <t>Design Preview</t>
  </si>
  <si>
    <t>Afghanistan</t>
  </si>
  <si>
    <t>Size (M2)</t>
  </si>
  <si>
    <t>Bahrain</t>
  </si>
  <si>
    <t>Iraq</t>
  </si>
  <si>
    <t>Israel</t>
  </si>
  <si>
    <t>Jordan</t>
  </si>
  <si>
    <t>Kuwait</t>
  </si>
  <si>
    <t>Lebanon</t>
  </si>
  <si>
    <t>Oman</t>
  </si>
  <si>
    <t>Qatar</t>
  </si>
  <si>
    <t>United Arab Emirates</t>
  </si>
  <si>
    <r>
      <t xml:space="preserve">Facility Category </t>
    </r>
    <r>
      <rPr>
        <b/>
        <sz val="18"/>
        <color rgb="FFFF0000"/>
        <rFont val="Calibri"/>
        <family val="2"/>
        <scheme val="minor"/>
      </rPr>
      <t>(Dropdown)</t>
    </r>
  </si>
  <si>
    <t>Common Uniform Building Envelope (CUBE)</t>
  </si>
  <si>
    <t>Four Area CMU Envelope (FACE)</t>
  </si>
  <si>
    <t>Standard Adaptive Facility Envelope (SAFE)</t>
  </si>
  <si>
    <t>Standard Adaptive Wood Structure (SAWS)</t>
  </si>
  <si>
    <t>Tactical Earthen Rapidly Raised Assembly Hut (TERRA HUT)</t>
  </si>
  <si>
    <t>Multi Use Tall Envelope (MUTE)</t>
  </si>
  <si>
    <t>Contractor</t>
  </si>
  <si>
    <t>Troop Labor</t>
  </si>
  <si>
    <t>Date of Design</t>
  </si>
  <si>
    <t>Description</t>
  </si>
  <si>
    <t>Standard Adaptive Facility Envelope (SAFE1) Single Story</t>
  </si>
  <si>
    <t>Facility Envelope Type</t>
  </si>
  <si>
    <t>Single Bay Envelope</t>
  </si>
  <si>
    <t>Weapons Storage</t>
  </si>
  <si>
    <t>Operation Storage</t>
  </si>
  <si>
    <t>Assembly Briefing</t>
  </si>
  <si>
    <t>Dining Facility</t>
  </si>
  <si>
    <t>Tactical Operations Center</t>
  </si>
  <si>
    <t>Joint Operations Center</t>
  </si>
  <si>
    <t>Moral/Welfare/Recreation</t>
  </si>
  <si>
    <t>Mosque</t>
  </si>
  <si>
    <t>Latrine/shower</t>
  </si>
  <si>
    <t>Laundry</t>
  </si>
  <si>
    <t>2 Bay1</t>
  </si>
  <si>
    <t>2bay2</t>
  </si>
  <si>
    <t>1bay option 1</t>
  </si>
  <si>
    <t>1 bay option 2</t>
  </si>
  <si>
    <t>14 Bay, full Floor with Latrine/shower</t>
  </si>
  <si>
    <t>14 bay, full floor open</t>
  </si>
  <si>
    <t>Officer Quarters 6 bay, 5 PN</t>
  </si>
  <si>
    <t>Officer Quarters 6 Bay, 6 PN</t>
  </si>
  <si>
    <t>Officer Quarters 14 Bay, full Floor, 24PN</t>
  </si>
  <si>
    <t>14 Bay, Full Floor</t>
  </si>
  <si>
    <t>1 Bay, 8PN</t>
  </si>
  <si>
    <t>14 bay, full foor option 2</t>
  </si>
  <si>
    <t>4 bay, 11PN</t>
  </si>
  <si>
    <t>6 Bay, 18Pn</t>
  </si>
  <si>
    <t>8 Bay, 23PN</t>
  </si>
  <si>
    <t>14 Bay, Full Floor, 41PN</t>
  </si>
  <si>
    <t>3 Bay, 112PN</t>
  </si>
  <si>
    <t>4 Bay, 150PN</t>
  </si>
  <si>
    <t>6 Bay, 220PN</t>
  </si>
  <si>
    <t>500 PN DFAC, 14 Bay, 72PN</t>
  </si>
  <si>
    <t>1 Bay, 12PN</t>
  </si>
  <si>
    <t>14 Bay, Full Floor Seating, 224PN</t>
  </si>
  <si>
    <t>1 bay, 2PN</t>
  </si>
  <si>
    <t>2 bay, 12PN</t>
  </si>
  <si>
    <t>3 Bay, 22PN</t>
  </si>
  <si>
    <t>4 Bay, 40PN</t>
  </si>
  <si>
    <t>14Bay, Full Floor</t>
  </si>
  <si>
    <t>14 Bay, Full Floor, 109PN Option 2</t>
  </si>
  <si>
    <t>Fitness Center, 14 Bay</t>
  </si>
  <si>
    <t>14 bay full floor</t>
  </si>
  <si>
    <t>14 Bay, Full Floor 240 PN</t>
  </si>
  <si>
    <t>2 Bay</t>
  </si>
  <si>
    <t>1 Bay, 75PN</t>
  </si>
  <si>
    <t>2 Bay, 150PN</t>
  </si>
  <si>
    <t>4 Bay, 300 PN</t>
  </si>
  <si>
    <t>14 Bay, Full Floor, 900 PN</t>
  </si>
  <si>
    <t>CUBE Options</t>
  </si>
  <si>
    <t>Full Design</t>
  </si>
  <si>
    <t>Mix and Match</t>
  </si>
  <si>
    <t>Phone Room</t>
  </si>
  <si>
    <t>Lounge Area</t>
  </si>
  <si>
    <t>Game/Theater Room</t>
  </si>
  <si>
    <t>Loung Room Option 2</t>
  </si>
  <si>
    <t>Game Room Option 2</t>
  </si>
  <si>
    <t>Operation center</t>
  </si>
  <si>
    <t>Operation Center</t>
  </si>
  <si>
    <t>CUBE</t>
  </si>
  <si>
    <t>14 Bay</t>
  </si>
  <si>
    <t>Operations Center, 1 Bay, 8PN</t>
  </si>
  <si>
    <t>Dining Facility, 1 Bay, 12PN</t>
  </si>
  <si>
    <t>Tactical Operations Center, 1 bay, 2PN</t>
  </si>
  <si>
    <t>Lounge Area Option 2</t>
  </si>
  <si>
    <t>Lounge Area Option 3</t>
  </si>
  <si>
    <t>Loung Area Option 3</t>
  </si>
  <si>
    <t>Laundry, 1 Bay, 75PN</t>
  </si>
  <si>
    <t>Weapons Storage, 1 Bay, Option 1</t>
  </si>
  <si>
    <t>Weapons Storage, 1 Bay, Option 2</t>
  </si>
  <si>
    <t>Operations Center, 14 Bay, Full Floor</t>
  </si>
  <si>
    <t>Operations Center, 14 Bay, Full Floor, Option 2</t>
  </si>
  <si>
    <t>Headquarters, 14 Bay, Full Floor, 41PN</t>
  </si>
  <si>
    <t>Dining Facility, 224PN, 14 Bay, Full Floor Seating</t>
  </si>
  <si>
    <t>Dining Facility, 500 PN, 14 Bay, 72PN</t>
  </si>
  <si>
    <t>Joint Operations Center, 14Bay, Full Floor</t>
  </si>
  <si>
    <t>Joint Operations Center, 14 Bay, Option 2</t>
  </si>
  <si>
    <t>Mosque, 14 bay,  full floor</t>
  </si>
  <si>
    <t xml:space="preserve">Latrine/Shower, 240 PN, 14 Bay, Full Floor </t>
  </si>
  <si>
    <t>Laundry, 900 PN, 14 Bay, Full Floor</t>
  </si>
  <si>
    <t>Design Title</t>
  </si>
  <si>
    <t>FACE</t>
  </si>
  <si>
    <t>MUTE</t>
  </si>
  <si>
    <t>SAFE</t>
  </si>
  <si>
    <t>SAFE1</t>
  </si>
  <si>
    <t>TERRA HUT</t>
  </si>
  <si>
    <t>SAWS</t>
  </si>
  <si>
    <t xml:space="preserve">a. Temporary facility to be occupied no more than 5 years.
b. Fabrication can be completed offsite, Panelized Floor &amp; walls, Limited skill required to assembled/disassemble, transportable, no heavy equipment needed to assemble
c. Can be constructed in 40 hours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</si>
  <si>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</si>
  <si>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</si>
  <si>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</si>
  <si>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</si>
  <si>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</si>
  <si>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</si>
  <si>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</si>
  <si>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</si>
  <si>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</si>
  <si>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</si>
  <si>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</si>
  <si>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</si>
  <si>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</si>
  <si>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</si>
  <si>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</si>
  <si>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</si>
  <si>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</si>
  <si>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</si>
  <si>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</si>
  <si>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</si>
  <si>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</si>
  <si>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</si>
  <si>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</si>
  <si>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</si>
  <si>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</si>
  <si>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</si>
  <si>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</si>
  <si>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</si>
  <si>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</si>
  <si>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</si>
  <si>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</si>
  <si>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</si>
  <si>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</si>
  <si>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</si>
  <si>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</si>
  <si>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</si>
  <si>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</si>
  <si>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</si>
  <si>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</si>
  <si>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</si>
  <si>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</si>
  <si>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</si>
  <si>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</si>
  <si>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</si>
  <si>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</si>
  <si>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</si>
  <si>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Washington DC</t>
  </si>
  <si>
    <t>West Virginia</t>
  </si>
  <si>
    <t>Wisconsin</t>
  </si>
  <si>
    <t>Wyoming</t>
  </si>
  <si>
    <t>Albania</t>
  </si>
  <si>
    <t>American Samoa</t>
  </si>
  <si>
    <t>Argentina</t>
  </si>
  <si>
    <t>Australia</t>
  </si>
  <si>
    <t>Azerbaijan</t>
  </si>
  <si>
    <t>Azores</t>
  </si>
  <si>
    <t>Bahamas</t>
  </si>
  <si>
    <t>Belgium</t>
  </si>
  <si>
    <t>Belize</t>
  </si>
  <si>
    <t>Bolivia</t>
  </si>
  <si>
    <t>Bosnia</t>
  </si>
  <si>
    <t>Brazil</t>
  </si>
  <si>
    <t>Bulgaria</t>
  </si>
  <si>
    <t>Cambodia</t>
  </si>
  <si>
    <t>Chile</t>
  </si>
  <si>
    <t>Columbia</t>
  </si>
  <si>
    <t>Costa Rica</t>
  </si>
  <si>
    <t>Crete</t>
  </si>
  <si>
    <t>Croatia</t>
  </si>
  <si>
    <t>Cuba</t>
  </si>
  <si>
    <t>Czech Republic</t>
  </si>
  <si>
    <t>Diego Garcia</t>
  </si>
  <si>
    <t>Ecuador</t>
  </si>
  <si>
    <t>El Salvador</t>
  </si>
  <si>
    <t>Estonia</t>
  </si>
  <si>
    <t>Georgia Republic</t>
  </si>
  <si>
    <t>Germany</t>
  </si>
  <si>
    <t>Greece</t>
  </si>
  <si>
    <t>Greenland</t>
  </si>
  <si>
    <t>Guam</t>
  </si>
  <si>
    <t>Guatemala</t>
  </si>
  <si>
    <t>Guyana</t>
  </si>
  <si>
    <t>Haiti</t>
  </si>
  <si>
    <t>Honduras</t>
  </si>
  <si>
    <t>Horn Of Africa</t>
  </si>
  <si>
    <t>Hungary</t>
  </si>
  <si>
    <t>Iceland</t>
  </si>
  <si>
    <t>India</t>
  </si>
  <si>
    <t>Italy</t>
  </si>
  <si>
    <t>Japan</t>
  </si>
  <si>
    <t>Kenya</t>
  </si>
  <si>
    <t>Korea</t>
  </si>
  <si>
    <t>Kosovo</t>
  </si>
  <si>
    <t>Kwajalein</t>
  </si>
  <si>
    <t>Latvia</t>
  </si>
  <si>
    <t>Lithuania</t>
  </si>
  <si>
    <t>Netherlands</t>
  </si>
  <si>
    <t>Nicaragua</t>
  </si>
  <si>
    <t>Northern Marianas</t>
  </si>
  <si>
    <t>Panama</t>
  </si>
  <si>
    <t>Paraguay</t>
  </si>
  <si>
    <t>Peru</t>
  </si>
  <si>
    <t>Philippines</t>
  </si>
  <si>
    <t>Poland</t>
  </si>
  <si>
    <t>Puerto Rico</t>
  </si>
  <si>
    <t>Romania</t>
  </si>
  <si>
    <t>Singapore</t>
  </si>
  <si>
    <t>Spain</t>
  </si>
  <si>
    <t>Thailand</t>
  </si>
  <si>
    <t>Turkey</t>
  </si>
  <si>
    <t>Ukraine</t>
  </si>
  <si>
    <t>United Kingdom</t>
  </si>
  <si>
    <t>Uruguay</t>
  </si>
  <si>
    <t>Proposed Location</t>
  </si>
  <si>
    <t>Duration</t>
  </si>
  <si>
    <t>mh</t>
  </si>
  <si>
    <t>TROOP</t>
  </si>
  <si>
    <t>CONTRACTO</t>
  </si>
  <si>
    <t xml:space="preserve">a. Temporary facility to be occupied no more than 5 years.
b. Fabrication can be completed offsite, Panelized Floor &amp; walls, Limited skill required to assembled/disassemble, transportable, no heavy equipment needed to assemble
c. Can be constructed in 40 hours
</t>
  </si>
  <si>
    <t>ACF</t>
  </si>
  <si>
    <t>Medical Facility</t>
  </si>
  <si>
    <t>Role 1 Medical Facility, 14 Bay, Full Floor</t>
  </si>
  <si>
    <t>Non-Permanent Design Menu</t>
  </si>
  <si>
    <t>Cube</t>
  </si>
  <si>
    <t>Blank Floor Plan</t>
  </si>
  <si>
    <t>Fire Station</t>
  </si>
  <si>
    <t>Fire Station Admin Facility</t>
  </si>
  <si>
    <t>Select Proposed Location</t>
  </si>
  <si>
    <t>Contractor Labor</t>
  </si>
  <si>
    <t>Housing 14 Bay, 48 PN with Latrine/shower</t>
  </si>
  <si>
    <t>Housing, 14 bay, 56 PN full floor open</t>
  </si>
  <si>
    <t>Center of Standardization for Nonpermanent Facilities</t>
  </si>
  <si>
    <t>Total ROM</t>
  </si>
  <si>
    <t>Cost</t>
  </si>
  <si>
    <t>Low Density Barracks, 14 Bay, 24PN</t>
  </si>
  <si>
    <t>Low Density Barracks,  14 Bay, W/Bathrooms,  24PN</t>
  </si>
  <si>
    <t>Low Density Barracks, 14 Bay, W/Bath, 12PN</t>
  </si>
  <si>
    <t>Mosque, 14 bay,  Two Story</t>
  </si>
  <si>
    <t>Two Story</t>
  </si>
  <si>
    <t>Role 2+ Medical Faciliy, 22 Bay, Full Floor</t>
  </si>
  <si>
    <t>Role 2 Medical Facility, Two Story</t>
  </si>
  <si>
    <t>Operations Center, 14 Bay, Two Story</t>
  </si>
  <si>
    <t>Joint Operations Center, 14Bay, Two Story</t>
  </si>
  <si>
    <t>Housing 14 Bay, Two Story, 96 PN with Latrine/shower</t>
  </si>
  <si>
    <t>Low Density Barracks, 14 Bay, Two Story, W/Bath, 24PN</t>
  </si>
  <si>
    <t>Headquarters, 14 Bay, Full Floor, 82PN</t>
  </si>
  <si>
    <t>Fire Station Admin Facility, Two story</t>
  </si>
  <si>
    <t>Standard Adaptive Facility Envelope (SAFE) Two Story</t>
  </si>
  <si>
    <t>Standard Adaptive Wood Structure (SAWS) Two Story</t>
  </si>
  <si>
    <t>Low Density Barracks,  Two Story W/Bathrooms,  48PN</t>
  </si>
  <si>
    <t>Wood Truss</t>
  </si>
  <si>
    <t>Metal Truss</t>
  </si>
  <si>
    <t>Protected Roof w/Parapet</t>
  </si>
  <si>
    <t>Protected Roof w/o Parapet</t>
  </si>
  <si>
    <t>Interior Cost</t>
  </si>
  <si>
    <t>Envelope</t>
  </si>
  <si>
    <t>Roof</t>
  </si>
  <si>
    <t>Subtotal</t>
  </si>
  <si>
    <t>ROM Breakdown</t>
  </si>
  <si>
    <t>Interior</t>
  </si>
  <si>
    <t>Total Facility</t>
  </si>
  <si>
    <t>Roof Type</t>
  </si>
  <si>
    <t>MUTE Roof</t>
  </si>
  <si>
    <t>Single Story Envelopes</t>
  </si>
  <si>
    <t>Design Selection Criteria</t>
  </si>
  <si>
    <t>Roof Type:</t>
  </si>
  <si>
    <t>Labor Execution:</t>
  </si>
  <si>
    <t>Construction Material</t>
  </si>
  <si>
    <t>Dimensions</t>
  </si>
  <si>
    <t>Stories</t>
  </si>
  <si>
    <t>R-value</t>
  </si>
  <si>
    <t>Interior Layout Detail</t>
  </si>
  <si>
    <t>a "bay" consists of a 24'x16' section. The default SAFE Envelope consists of 14 Bays. The facilities can be stretched or shortened modularly per "bay" width
Construction Material: Concrete Frame with CMU Infill
Roof Type: Protected structure with integral protective roof
Occupancy: semi-permanent facility to be occupied no more than 25 years.</t>
  </si>
  <si>
    <t>a "bay" consists of a 24'x16' section.  The default SAWS Envelope consists of 14 Bays. The facilities can be stretched or shortened modularly per "bay" width
Construction Material: Nominal Lumber
Occupancy: semi-permanent facility to be occupied no more than 25 years.
double story only</t>
  </si>
  <si>
    <t xml:space="preserve">a "bay" consists of a 24'x16' section. The default FACE Envelope consists of 14 Bays. The facilities can be stretched or shortened modularly per "bay" width
Construction Material: Load Bearing CMU
Occupancy: semi-permanent facility to be occupied no more than 25 years
Single Story only
</t>
  </si>
  <si>
    <t>Panelized Wood</t>
  </si>
  <si>
    <t>1 Bay, 7.3m  x 4.9m, 35.77m2</t>
  </si>
  <si>
    <t>Metal</t>
  </si>
  <si>
    <t>CMU</t>
  </si>
  <si>
    <t>14 Bay, 9.8m x 34.3m, 442.5 m2</t>
  </si>
  <si>
    <t>Wood</t>
  </si>
  <si>
    <t>Concrete Framing w/ CMU infill</t>
  </si>
  <si>
    <t>14 Bay, 9.8m x 34.3m, 442.5 m2/floor, 885 m2 Total</t>
  </si>
  <si>
    <t>Wall 20; Roof 40</t>
  </si>
  <si>
    <t>Compressed Earth Block Structure</t>
  </si>
  <si>
    <t>14 Bay, 12.9m x 34.3m 442.5m2</t>
  </si>
  <si>
    <t xml:space="preserve">1. a "bay" consists of a 24'x16' section. The default TERRA HUT Envelope consists of 14 bays. There is also an option available with 3 bays. The facilities can be stretched or shortened modularly per "bay" width
2. Constructed with onsite soils 10%-20% clay, 65%-80% sand, 10%-20% silt and 7% cement.
3. Single story and can be hardened for direct and indirect fire.
4. EARTH BLOX BP714 from Dwell Earth is $30K and mixer is $6K. Blocks to cure for 7 days prior to use.
</t>
  </si>
  <si>
    <t>Semi open bay with Latrine &amp; Showers</t>
  </si>
  <si>
    <t>Semi open bay</t>
  </si>
  <si>
    <t>12 Rooms, 2 Beds per room, with Office Area</t>
  </si>
  <si>
    <t>12 Rooms, 2 Beds per room, with Office Area &amp; Bathrooms</t>
  </si>
  <si>
    <t>12 Rooms, 1 Beds per room, with Office Area &amp; Bathrooms</t>
  </si>
  <si>
    <t>Open Office Area with 3 Conference Rooms</t>
  </si>
  <si>
    <t>Open Office Area with Conference Space</t>
  </si>
  <si>
    <t>Open Area seating, 4 offices, and multiple conference space</t>
  </si>
  <si>
    <t>Open Seating with kitchen &amp; Serving space</t>
  </si>
  <si>
    <t>Open Seating</t>
  </si>
  <si>
    <t>Open Seating with Offices and Conference Rooms</t>
  </si>
  <si>
    <t>Open Area with HVAC, TVs, &amp; Laundry Room</t>
  </si>
  <si>
    <t>7 separate latrine areas, inclusive of showers, toilets, and wash areas</t>
  </si>
  <si>
    <t>Open Laundry Space</t>
  </si>
  <si>
    <t>Open Seating Sanctuary on Ground Floor and Offices/Classrooms/Storage/Prayer on First Floor</t>
  </si>
  <si>
    <t>Open Sanctuary, with offices, restrooms, prayer room, and conference room</t>
  </si>
  <si>
    <t>Trauma Room, Exam Rooms, Pharmacy, Utilities, Laboratory</t>
  </si>
  <si>
    <t>Trauma Room, Exam Rooms, X-Ray, Blood Storage, Utilities, Laboratory</t>
  </si>
  <si>
    <t>Trauma Room, Exam Rooms, Operating Room, Recovery, Utilities, Laboratory</t>
  </si>
  <si>
    <t>Training Area, Offices, Fitness Area, Dispatch</t>
  </si>
  <si>
    <t>Comments Date Start:</t>
  </si>
  <si>
    <t>Date</t>
  </si>
  <si>
    <t>Commenter</t>
  </si>
  <si>
    <t>Comment/Revision</t>
  </si>
  <si>
    <t>Trying to add comments to the columns, to see what is what… since it's hard to tell what anything is, also switched two interior cost columns that were incorrect in  "DONOTTOUCH" contract price was cheaper than troop labor (incorrect), these costs need to be updated</t>
  </si>
  <si>
    <t>Wougk</t>
  </si>
  <si>
    <t>Updated cover page</t>
  </si>
  <si>
    <t>If you want to add options (interior floor options), past option 46, you will have to increase the range that all of the formulas search for</t>
  </si>
  <si>
    <t>DoNotTouch Tab</t>
  </si>
  <si>
    <t>Cell B1</t>
  </si>
  <si>
    <t>Refers to the envelope that was chosen, each envelope matches up with a number, this matchup can be seen in DropdownsDNT</t>
  </si>
  <si>
    <t>Cell D1</t>
  </si>
  <si>
    <t>Which envelope category the selection is in - either CUBE, 14 bay, two story, or MUTE</t>
  </si>
  <si>
    <t>Column G</t>
  </si>
  <si>
    <t>Interior types/categories</t>
  </si>
  <si>
    <t>Columns H-J</t>
  </si>
  <si>
    <t>Not sure what these are supposed to be for</t>
  </si>
  <si>
    <t>Column K</t>
  </si>
  <si>
    <t>Area in square meters of envelope/floor plan</t>
  </si>
  <si>
    <t>Columns L&amp;M</t>
  </si>
  <si>
    <t>Troop and contractor labor costs</t>
  </si>
  <si>
    <t>Column N</t>
  </si>
  <si>
    <t>Column O</t>
  </si>
  <si>
    <t>Takesthe available layouts and eliminates spaces in between</t>
  </si>
  <si>
    <t>Column Q</t>
  </si>
  <si>
    <t>Same as O but eliminates any #NUM!</t>
  </si>
  <si>
    <t>Shows which interiors are available for the selected envelope (interiors that correspond to a number)</t>
  </si>
  <si>
    <t>Column R</t>
  </si>
  <si>
    <t>Finds the name of the interior layout that corresponds to the number, giving a complete list of available interiors for the envelope without any gaps/spaces</t>
  </si>
  <si>
    <t>Interior Type</t>
  </si>
  <si>
    <r>
      <t xml:space="preserve">     </t>
    </r>
    <r>
      <rPr>
        <b/>
        <sz val="11"/>
        <color theme="1"/>
        <rFont val="Arial"/>
        <family val="2"/>
      </rPr>
      <t>Proposed Location</t>
    </r>
  </si>
  <si>
    <t>Construction Labor</t>
  </si>
  <si>
    <t>CUBE Tower</t>
  </si>
  <si>
    <t>&lt; is it 14 bay?</t>
  </si>
  <si>
    <t>&lt; is it Two story?</t>
  </si>
  <si>
    <t>there are hidden sheets - right click a sheet and select to unhide them</t>
  </si>
  <si>
    <t>The pictures are inputted by user created formulas - look at the formula tab to see these formulas, they may refer to hidden sheets</t>
  </si>
  <si>
    <t>I will have the CUBE tower and CUBE 2 story as CUBES - one formula had too many nested if statements so I needed to consolidate things so I created an or statement - see DONNOTTOUCH!B47:C48</t>
  </si>
  <si>
    <t>^^ These things are for Cell D1, There were too many options and too many nested if statements</t>
  </si>
  <si>
    <t>Multiple Story Options</t>
  </si>
  <si>
    <t>Not sure if this needs to be said but do not try to input a new option in the middle of the list, put it at the end</t>
  </si>
  <si>
    <t>Two Story CUBE</t>
  </si>
  <si>
    <t>How to add envelope option when multiple options keep being checked: I really don't know I just deleted the form option and then readded it and it was fine</t>
  </si>
  <si>
    <t>12.2m x 7.3m, 89.19 m2</t>
  </si>
  <si>
    <t>this can be nested within the formula but that would make it very very long</t>
  </si>
  <si>
    <t>Lounge Area Option 4</t>
  </si>
  <si>
    <t>Truss Assembly Roof</t>
  </si>
  <si>
    <t>16' Truss Panelized Roof</t>
  </si>
  <si>
    <t>8' Truss Panelized Roof</t>
  </si>
  <si>
    <t>*Currently Under Design* Temporary facility using "stacked" CUBEs to create a tower. Cab on top can be 16' x 16', or 10'  x 10' as shown to be able to walk around.</t>
  </si>
  <si>
    <t>Currently Under Design.</t>
  </si>
  <si>
    <t>4.88m x 4.88m, 23.8 m2</t>
  </si>
  <si>
    <t>Updated CUBE Tower and CUBE 2 Story</t>
  </si>
  <si>
    <t>Korea, South</t>
  </si>
  <si>
    <t>Updated Area Cost factors</t>
  </si>
  <si>
    <t>Massachusetts</t>
  </si>
  <si>
    <t>Updated images in envelope tab</t>
  </si>
  <si>
    <t>Options for envelope type gets very messed up - the order gets all out of wack, or multiple options are selected at each time. Not sure how to fix this. I just went in and renamed the buttons and put them in the right order.</t>
  </si>
  <si>
    <t>*not updated</t>
  </si>
  <si>
    <t>Ayala</t>
  </si>
  <si>
    <t>5 Bay, 12.8m x 30.5m, 390 m2</t>
  </si>
  <si>
    <t xml:space="preserve">Vehicule Maintenance </t>
  </si>
  <si>
    <t>Updated Introduction/ overview to match new catalog</t>
  </si>
  <si>
    <t xml:space="preserve">a "bay" consists of a 42'x20' section. The default MUTE Envelope consists of 5 Bays. The facilities can be stretched or shortened modularly per "bay" width
Steel Structure, not a pre-engineered building
Ideal for uses such as warehouse or vehicle maintenance
</t>
  </si>
  <si>
    <t>CUBE wide</t>
  </si>
  <si>
    <t>CUBE Wide</t>
  </si>
  <si>
    <t>Updated MUTE Floor plan, could not update price. Revise CUBE 2 story with CUBE wide. Prices for CUBE tower and CUBE wide are not acurate.</t>
  </si>
  <si>
    <t>CoS Non-Permanent Design Builder</t>
  </si>
  <si>
    <r>
      <t xml:space="preserve">NOTE: This ROM does not include </t>
    </r>
    <r>
      <rPr>
        <u/>
        <sz val="9"/>
        <color theme="1"/>
        <rFont val="Calibri"/>
        <family val="2"/>
        <scheme val="minor"/>
      </rPr>
      <t>any FF&amp;E,  site work or utility connections</t>
    </r>
    <r>
      <rPr>
        <sz val="9"/>
        <color theme="1"/>
        <rFont val="Calibri"/>
        <family val="2"/>
        <scheme val="minor"/>
      </rPr>
      <t>. Area Cost Factors are based on 2022 PAX Newsletter.</t>
    </r>
  </si>
  <si>
    <t>CoS Oversite (2%)</t>
  </si>
  <si>
    <t>Last Updated: January 29, 2025</t>
  </si>
  <si>
    <t>Updated overview with newer facility standards, revise 1% to 2% desin fee and latest PAX edition</t>
  </si>
  <si>
    <t xml:space="preserve">Ayala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</si>
</sst>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
  </numFmts>
  <fonts count="32" x14ac:knownFonts="1">
    <font>
      <sz val="11"/>
      <color theme="1"/>
      <name val="Calibri"/>
      <family val="2"/>
      <scheme val="minor"/>
    </font>
    <font>
      <b/>
      <u/>
      <sz val="11"/>
      <color theme="1"/>
      <name val="Calibri"/>
      <family val="2"/>
      <scheme val="minor"/>
    </font>
    <font>
      <b/>
      <sz val="10"/>
      <color theme="1"/>
      <name val="Calibri"/>
      <family val="2"/>
      <scheme val="minor"/>
    </font>
    <font>
      <sz val="10"/>
      <color theme="1"/>
      <name val="Calibri"/>
      <family val="2"/>
      <scheme val="minor"/>
    </font>
    <font>
      <b/>
      <sz val="18"/>
      <color theme="1"/>
      <name val="Calibri"/>
      <family val="2"/>
      <scheme val="minor"/>
    </font>
    <font>
      <b/>
      <sz val="18"/>
      <color rgb="FFFF0000"/>
      <name val="Calibri"/>
      <family val="2"/>
      <scheme val="minor"/>
    </font>
    <font>
      <b/>
      <sz val="11"/>
      <color theme="1"/>
      <name val="Calibri"/>
      <family val="2"/>
      <scheme val="minor"/>
    </font>
    <font>
      <sz val="8"/>
      <color rgb="FF000000"/>
      <name val="Segoe UI"/>
      <family val="2"/>
    </font>
    <font>
      <sz val="11"/>
      <color rgb="FF000000"/>
      <name val="Arial"/>
      <family val="2"/>
    </font>
    <font>
      <sz val="11"/>
      <name val="Arial"/>
      <family val="2"/>
    </font>
    <font>
      <sz val="10"/>
      <color rgb="FF000000"/>
      <name val="Arial"/>
      <family val="2"/>
    </font>
    <font>
      <b/>
      <sz val="14"/>
      <color theme="1"/>
      <name val="Calibri"/>
      <family val="2"/>
      <scheme val="minor"/>
    </font>
    <font>
      <i/>
      <sz val="10"/>
      <color theme="1"/>
      <name val="Calibri"/>
      <family val="2"/>
      <scheme val="minor"/>
    </font>
    <font>
      <b/>
      <i/>
      <sz val="10"/>
      <color theme="1"/>
      <name val="Calibri"/>
      <family val="2"/>
      <scheme val="minor"/>
    </font>
    <font>
      <b/>
      <i/>
      <sz val="20"/>
      <color theme="1"/>
      <name val="Calibri"/>
      <family val="2"/>
      <scheme val="minor"/>
    </font>
    <font>
      <sz val="18"/>
      <name val="Calibri"/>
      <family val="2"/>
      <scheme val="minor"/>
    </font>
    <font>
      <b/>
      <i/>
      <sz val="12"/>
      <color theme="1"/>
      <name val="Calibri"/>
      <family val="2"/>
      <scheme val="minor"/>
    </font>
    <font>
      <sz val="9"/>
      <color theme="1"/>
      <name val="Calibri"/>
      <family val="2"/>
      <scheme val="minor"/>
    </font>
    <font>
      <u/>
      <sz val="9"/>
      <color theme="1"/>
      <name val="Calibri"/>
      <family val="2"/>
      <scheme val="minor"/>
    </font>
    <font>
      <b/>
      <i/>
      <sz val="11"/>
      <color theme="5" tint="-0.249977111117893"/>
      <name val="Calibri"/>
      <family val="2"/>
      <scheme val="minor"/>
    </font>
    <font>
      <sz val="9"/>
      <color indexed="81"/>
      <name val="Tahoma"/>
      <family val="2"/>
    </font>
    <font>
      <b/>
      <sz val="9"/>
      <color indexed="81"/>
      <name val="Tahoma"/>
      <family val="2"/>
    </font>
    <font>
      <sz val="11"/>
      <color rgb="FFFF0000"/>
      <name val="Calibri"/>
      <family val="2"/>
      <scheme val="minor"/>
    </font>
    <font>
      <b/>
      <sz val="11"/>
      <color theme="1"/>
      <name val="Arial"/>
      <family val="2"/>
    </font>
    <font>
      <b/>
      <sz val="12"/>
      <color theme="1"/>
      <name val="Arial"/>
      <family val="2"/>
    </font>
    <font>
      <sz val="72"/>
      <color theme="1"/>
      <name val="Calibri"/>
      <family val="2"/>
      <scheme val="minor"/>
    </font>
    <font>
      <sz val="11"/>
      <color rgb="FF00B0F0"/>
      <name val="Calibri"/>
      <family val="2"/>
      <scheme val="minor"/>
    </font>
    <font>
      <b/>
      <sz val="11"/>
      <color theme="0"/>
      <name val="Calibri"/>
      <family val="2"/>
      <scheme val="minor"/>
    </font>
    <font>
      <sz val="11"/>
      <color rgb="FF000000"/>
      <name val="Calibri"/>
      <family val="2"/>
      <scheme val="minor"/>
    </font>
    <font>
      <b/>
      <u/>
      <sz val="16"/>
      <color theme="1"/>
      <name val="Arial"/>
      <family val="2"/>
    </font>
    <font>
      <b/>
      <sz val="14"/>
      <color theme="1"/>
      <name val="Arial"/>
      <family val="2"/>
    </font>
    <font>
      <i/>
      <sz val="16"/>
      <color theme="1"/>
      <name val="Arial Black"/>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A5A5A5"/>
      </patternFill>
    </fill>
  </fills>
  <borders count="44">
    <border>
      <left/>
      <right/>
      <top/>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rgb="FF000000"/>
      </left>
      <right/>
      <top style="thin">
        <color rgb="FFD2D2D2"/>
      </top>
      <bottom style="thin">
        <color rgb="FFD2D2D2"/>
      </bottom>
      <diagonal/>
    </border>
    <border>
      <left style="thin">
        <color rgb="FFD2D2D2"/>
      </left>
      <right/>
      <top style="thin">
        <color rgb="FFD2D2D2"/>
      </top>
      <bottom style="thin">
        <color rgb="FFD2D2D2"/>
      </bottom>
      <diagonal/>
    </border>
    <border>
      <left style="thin">
        <color rgb="FF000000"/>
      </left>
      <right/>
      <top style="thin">
        <color rgb="FFD2D2D2"/>
      </top>
      <bottom style="thin">
        <color rgb="FF000000"/>
      </bottom>
      <diagonal/>
    </border>
    <border>
      <left style="thin">
        <color rgb="FFD2D2D2"/>
      </left>
      <right/>
      <top style="thin">
        <color rgb="FFD2D2D2"/>
      </top>
      <bottom style="thin">
        <color rgb="FF000000"/>
      </bottom>
      <diagonal/>
    </border>
    <border>
      <left style="thin">
        <color rgb="FF000000"/>
      </left>
      <right style="thin">
        <color rgb="FFD2D2D2"/>
      </right>
      <top style="thin">
        <color rgb="FFD2D2D2"/>
      </top>
      <bottom style="thin">
        <color rgb="FFD2D2D2"/>
      </bottom>
      <diagonal/>
    </border>
    <border>
      <left style="thin">
        <color rgb="FF000000"/>
      </left>
      <right style="thin">
        <color rgb="FFD2D2D2"/>
      </right>
      <top style="thin">
        <color rgb="FFD2D2D2"/>
      </top>
      <bottom style="thin">
        <color rgb="FF000000"/>
      </bottom>
      <diagonal/>
    </border>
    <border>
      <left style="thin">
        <color rgb="FF000000"/>
      </left>
      <right style="thin">
        <color rgb="FFD2D2D2"/>
      </right>
      <top style="thin">
        <color rgb="FFD2D2D2"/>
      </top>
      <bottom/>
      <diagonal/>
    </border>
    <border>
      <left style="thin">
        <color rgb="FFD2D2D2"/>
      </left>
      <right/>
      <top style="thin">
        <color rgb="FF000000"/>
      </top>
      <bottom style="thin">
        <color rgb="FFD2D2D2"/>
      </bottom>
      <diagonal/>
    </border>
    <border>
      <left style="thin">
        <color indexed="64"/>
      </left>
      <right style="thin">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double">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s>
  <cellStyleXfs count="2">
    <xf numFmtId="0" fontId="0" fillId="0" borderId="0"/>
    <xf numFmtId="0" fontId="27" fillId="8" borderId="43" applyNumberFormat="0" applyAlignment="0" applyProtection="0"/>
  </cellStyleXfs>
  <cellXfs count="116">
    <xf numFmtId="0" fontId="0" fillId="0" borderId="0" xfId="0"/>
    <xf numFmtId="0" fontId="0" fillId="0" borderId="1" xfId="0" applyBorder="1"/>
    <xf numFmtId="0" fontId="0" fillId="0" borderId="0" xfId="0" applyAlignment="1">
      <alignment vertical="top"/>
    </xf>
    <xf numFmtId="0" fontId="0" fillId="0" borderId="2"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horizontal="center"/>
    </xf>
    <xf numFmtId="0" fontId="4" fillId="4" borderId="2" xfId="0" applyFont="1" applyFill="1" applyBorder="1" applyAlignment="1">
      <alignment horizontal="center" vertical="center" wrapText="1"/>
    </xf>
    <xf numFmtId="0" fontId="6" fillId="0" borderId="0" xfId="0" applyFont="1"/>
    <xf numFmtId="0" fontId="0" fillId="0" borderId="2" xfId="0" applyBorder="1" applyAlignment="1">
      <alignment vertical="center"/>
    </xf>
    <xf numFmtId="0" fontId="4" fillId="3"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0" borderId="0" xfId="0" applyFont="1" applyAlignment="1">
      <alignment vertical="center"/>
    </xf>
    <xf numFmtId="0" fontId="0" fillId="0" borderId="0" xfId="0" applyAlignment="1">
      <alignment horizontal="right"/>
    </xf>
    <xf numFmtId="0" fontId="0" fillId="0" borderId="0" xfId="0" applyAlignment="1">
      <alignment wrapText="1"/>
    </xf>
    <xf numFmtId="0" fontId="3" fillId="0" borderId="0" xfId="0" applyFont="1" applyAlignment="1">
      <alignment wrapText="1"/>
    </xf>
    <xf numFmtId="165" fontId="8" fillId="0" borderId="11" xfId="0" applyNumberFormat="1" applyFont="1" applyBorder="1" applyAlignment="1">
      <alignment vertical="top" wrapText="1"/>
    </xf>
    <xf numFmtId="0" fontId="9" fillId="0" borderId="10" xfId="0" applyFont="1" applyBorder="1" applyAlignment="1">
      <alignment horizontal="left" vertical="top" wrapText="1"/>
    </xf>
    <xf numFmtId="165" fontId="10" fillId="0" borderId="11" xfId="0" applyNumberFormat="1" applyFont="1" applyBorder="1" applyAlignment="1">
      <alignment vertical="top" wrapText="1"/>
    </xf>
    <xf numFmtId="0" fontId="9" fillId="0" borderId="12" xfId="0" applyFont="1" applyBorder="1" applyAlignment="1">
      <alignment horizontal="left" vertical="top" wrapText="1"/>
    </xf>
    <xf numFmtId="165" fontId="8" fillId="0" borderId="13" xfId="0" applyNumberFormat="1" applyFont="1" applyBorder="1" applyAlignment="1">
      <alignmen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165" fontId="8" fillId="0" borderId="17" xfId="0" applyNumberFormat="1" applyFont="1" applyBorder="1" applyAlignment="1">
      <alignment vertical="top" wrapText="1"/>
    </xf>
    <xf numFmtId="0" fontId="11" fillId="0" borderId="0" xfId="0" applyFont="1"/>
    <xf numFmtId="0" fontId="13" fillId="0" borderId="0" xfId="0" applyFont="1" applyAlignment="1">
      <alignment vertical="center" wrapText="1"/>
    </xf>
    <xf numFmtId="0" fontId="2" fillId="0" borderId="23" xfId="0" applyFont="1" applyBorder="1"/>
    <xf numFmtId="164" fontId="0" fillId="0" borderId="24" xfId="0" applyNumberFormat="1" applyBorder="1" applyAlignment="1">
      <alignment horizontal="center"/>
    </xf>
    <xf numFmtId="0" fontId="3" fillId="0" borderId="24" xfId="0" applyFont="1" applyBorder="1" applyAlignment="1">
      <alignment horizontal="center"/>
    </xf>
    <xf numFmtId="0" fontId="0" fillId="0" borderId="24" xfId="0" applyBorder="1" applyAlignment="1">
      <alignment horizontal="center"/>
    </xf>
    <xf numFmtId="164" fontId="3" fillId="0" borderId="24" xfId="0" applyNumberFormat="1" applyFont="1" applyBorder="1" applyAlignment="1">
      <alignment horizontal="center"/>
    </xf>
    <xf numFmtId="0" fontId="0" fillId="0" borderId="18" xfId="0" applyBorder="1" applyAlignment="1">
      <alignment vertical="center"/>
    </xf>
    <xf numFmtId="0" fontId="0" fillId="0" borderId="29" xfId="0" applyBorder="1"/>
    <xf numFmtId="0" fontId="11" fillId="0" borderId="30" xfId="0" applyFont="1" applyBorder="1"/>
    <xf numFmtId="0" fontId="0" fillId="0" borderId="31" xfId="0" applyBorder="1"/>
    <xf numFmtId="0" fontId="0" fillId="0" borderId="25" xfId="0" applyBorder="1"/>
    <xf numFmtId="0" fontId="0" fillId="0" borderId="26" xfId="0" applyBorder="1"/>
    <xf numFmtId="0" fontId="11" fillId="0" borderId="26" xfId="0" applyFont="1" applyBorder="1"/>
    <xf numFmtId="0" fontId="0" fillId="0" borderId="27" xfId="0" applyBorder="1"/>
    <xf numFmtId="0" fontId="0" fillId="0" borderId="32" xfId="0" applyBorder="1"/>
    <xf numFmtId="0" fontId="0" fillId="0" borderId="28" xfId="0" applyBorder="1"/>
    <xf numFmtId="0" fontId="0" fillId="0" borderId="33" xfId="0" applyBorder="1"/>
    <xf numFmtId="0" fontId="4" fillId="4" borderId="0" xfId="0" applyFont="1" applyFill="1" applyAlignment="1">
      <alignment horizontal="center" vertical="center" wrapText="1"/>
    </xf>
    <xf numFmtId="0" fontId="15"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0" fillId="3" borderId="0" xfId="0" applyFill="1"/>
    <xf numFmtId="0" fontId="4" fillId="4" borderId="18" xfId="0" applyFont="1" applyFill="1" applyBorder="1" applyAlignment="1">
      <alignment horizontal="center" vertical="center" wrapText="1"/>
    </xf>
    <xf numFmtId="0" fontId="2" fillId="0" borderId="38" xfId="0" applyFont="1" applyBorder="1"/>
    <xf numFmtId="164" fontId="3" fillId="0" borderId="39" xfId="0" applyNumberFormat="1" applyFont="1" applyBorder="1" applyAlignment="1">
      <alignment horizontal="center"/>
    </xf>
    <xf numFmtId="164" fontId="0" fillId="0" borderId="0" xfId="0" applyNumberFormat="1"/>
    <xf numFmtId="0" fontId="6" fillId="0" borderId="40" xfId="0" applyFont="1" applyBorder="1"/>
    <xf numFmtId="164" fontId="1" fillId="0" borderId="41" xfId="0" applyNumberFormat="1" applyFont="1" applyBorder="1" applyAlignment="1">
      <alignment horizontal="center" vertical="top" wrapText="1"/>
    </xf>
    <xf numFmtId="164" fontId="0" fillId="0" borderId="0" xfId="0" applyNumberFormat="1" applyAlignment="1">
      <alignment horizontal="center"/>
    </xf>
    <xf numFmtId="0" fontId="2" fillId="0" borderId="23" xfId="0" applyFont="1" applyBorder="1" applyAlignment="1">
      <alignment horizontal="left" indent="2"/>
    </xf>
    <xf numFmtId="0" fontId="0" fillId="0" borderId="18" xfId="0" applyBorder="1"/>
    <xf numFmtId="0" fontId="11" fillId="0" borderId="26" xfId="0" applyFont="1" applyBorder="1" applyAlignment="1">
      <alignment horizontal="center"/>
    </xf>
    <xf numFmtId="0" fontId="14" fillId="2" borderId="1" xfId="0" applyFont="1" applyFill="1" applyBorder="1" applyAlignment="1">
      <alignment horizontal="center" vertical="center" wrapText="1"/>
    </xf>
    <xf numFmtId="0" fontId="3" fillId="0" borderId="0" xfId="0" applyFont="1" applyAlignment="1">
      <alignment horizontal="left" wrapText="1"/>
    </xf>
    <xf numFmtId="0" fontId="1" fillId="0" borderId="0" xfId="0" applyFont="1" applyAlignment="1">
      <alignment horizontal="center" vertical="top"/>
    </xf>
    <xf numFmtId="0" fontId="1" fillId="0" borderId="42" xfId="0" applyFont="1" applyBorder="1"/>
    <xf numFmtId="0" fontId="0" fillId="0" borderId="42" xfId="0" applyBorder="1"/>
    <xf numFmtId="0" fontId="6" fillId="7" borderId="2" xfId="0" applyFont="1" applyFill="1" applyBorder="1"/>
    <xf numFmtId="0" fontId="8" fillId="0" borderId="2" xfId="0" applyFont="1" applyBorder="1" applyAlignment="1">
      <alignment horizontal="left" vertical="center" wrapText="1" readingOrder="1"/>
    </xf>
    <xf numFmtId="0" fontId="0" fillId="0" borderId="2" xfId="0" applyBorder="1" applyAlignment="1">
      <alignment wrapText="1"/>
    </xf>
    <xf numFmtId="0" fontId="0" fillId="0" borderId="0" xfId="0" applyAlignment="1">
      <alignment vertical="center"/>
    </xf>
    <xf numFmtId="0" fontId="6" fillId="7" borderId="2" xfId="0" applyFont="1" applyFill="1" applyBorder="1" applyAlignment="1">
      <alignment vertical="center" wrapText="1"/>
    </xf>
    <xf numFmtId="15" fontId="0" fillId="0" borderId="0" xfId="0" applyNumberFormat="1"/>
    <xf numFmtId="0" fontId="23" fillId="0" borderId="0" xfId="0" applyFont="1"/>
    <xf numFmtId="0" fontId="24" fillId="0" borderId="0" xfId="0" applyFont="1"/>
    <xf numFmtId="0" fontId="25" fillId="0" borderId="0" xfId="0" applyFont="1"/>
    <xf numFmtId="0" fontId="22" fillId="0" borderId="0" xfId="0" applyFont="1" applyAlignment="1">
      <alignment wrapText="1"/>
    </xf>
    <xf numFmtId="0" fontId="26" fillId="0" borderId="0" xfId="0" applyFont="1"/>
    <xf numFmtId="0" fontId="27" fillId="8" borderId="43" xfId="1"/>
    <xf numFmtId="0" fontId="6" fillId="0" borderId="0" xfId="0" applyFont="1" applyAlignment="1">
      <alignment wrapText="1"/>
    </xf>
    <xf numFmtId="165" fontId="8" fillId="3" borderId="11" xfId="0" applyNumberFormat="1" applyFont="1" applyFill="1" applyBorder="1" applyAlignment="1">
      <alignment vertical="top" wrapText="1"/>
    </xf>
    <xf numFmtId="0" fontId="28" fillId="0" borderId="2" xfId="0" applyFont="1" applyBorder="1" applyAlignment="1">
      <alignment horizontal="center" vertical="center" wrapText="1" readingOrder="1"/>
    </xf>
    <xf numFmtId="0" fontId="28" fillId="0" borderId="2" xfId="0" applyFont="1" applyBorder="1" applyAlignment="1">
      <alignment horizontal="left" wrapText="1" readingOrder="1"/>
    </xf>
    <xf numFmtId="14" fontId="0" fillId="0" borderId="0" xfId="0" applyNumberFormat="1"/>
    <xf numFmtId="0" fontId="0" fillId="0" borderId="0" xfId="0" applyBorder="1"/>
    <xf numFmtId="0" fontId="29" fillId="0" borderId="30" xfId="0" applyFont="1" applyBorder="1"/>
    <xf numFmtId="0" fontId="30" fillId="0" borderId="0" xfId="0" applyFont="1"/>
    <xf numFmtId="0" fontId="0" fillId="0" borderId="2" xfId="0" applyBorder="1" applyAlignment="1">
      <alignment vertical="center" wrapText="1"/>
    </xf>
    <xf numFmtId="0" fontId="0" fillId="0" borderId="2" xfId="0"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31" fillId="2" borderId="3"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 fillId="0" borderId="0" xfId="0" applyFont="1" applyAlignment="1">
      <alignment horizontal="center" vertical="top"/>
    </xf>
    <xf numFmtId="0" fontId="1" fillId="6" borderId="21" xfId="0" applyFont="1" applyFill="1" applyBorder="1" applyAlignment="1">
      <alignment horizontal="center"/>
    </xf>
    <xf numFmtId="0" fontId="1" fillId="6" borderId="22" xfId="0" applyFont="1" applyFill="1" applyBorder="1" applyAlignment="1">
      <alignment horizontal="center"/>
    </xf>
    <xf numFmtId="0" fontId="1" fillId="6" borderId="29"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3" fillId="0" borderId="0" xfId="0" applyFont="1" applyAlignment="1">
      <alignment horizontal="left" wrapText="1"/>
    </xf>
    <xf numFmtId="0" fontId="1" fillId="6" borderId="36" xfId="0" applyFont="1" applyFill="1" applyBorder="1" applyAlignment="1">
      <alignment horizontal="center"/>
    </xf>
    <xf numFmtId="0" fontId="1" fillId="6" borderId="37" xfId="0" applyFont="1" applyFill="1" applyBorder="1" applyAlignment="1">
      <alignment horizontal="center"/>
    </xf>
    <xf numFmtId="0" fontId="16" fillId="0" borderId="0" xfId="0" applyFont="1" applyAlignment="1">
      <alignment horizontal="center" vertical="top" wrapText="1"/>
    </xf>
    <xf numFmtId="0" fontId="17" fillId="0" borderId="30" xfId="0" applyFont="1" applyBorder="1" applyAlignment="1">
      <alignment horizontal="center" vertical="top" wrapText="1"/>
    </xf>
    <xf numFmtId="0" fontId="17" fillId="0" borderId="32" xfId="0" applyFont="1" applyBorder="1" applyAlignment="1">
      <alignment horizontal="center" vertical="top" wrapText="1"/>
    </xf>
    <xf numFmtId="0" fontId="12" fillId="0" borderId="29" xfId="0" applyFont="1" applyBorder="1" applyAlignment="1">
      <alignment horizontal="left" vertical="top" wrapText="1"/>
    </xf>
    <xf numFmtId="0" fontId="12" fillId="0" borderId="31"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27" xfId="0" applyFont="1" applyBorder="1" applyAlignment="1">
      <alignment horizontal="left" vertical="top" wrapText="1"/>
    </xf>
    <xf numFmtId="0" fontId="12" fillId="0" borderId="28" xfId="0" applyFont="1" applyBorder="1" applyAlignment="1">
      <alignment horizontal="left" vertical="top" wrapText="1"/>
    </xf>
    <xf numFmtId="0" fontId="6" fillId="7" borderId="2" xfId="0" applyFont="1" applyFill="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center"/>
    </xf>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DONOTTOUCH!$B$1" lockText="1" noThreeD="1"/>
</file>

<file path=xl/ctrlProps/ctrlProp10.xml><?xml version="1.0" encoding="utf-8"?>
<formControlPr xmlns="http://schemas.microsoft.com/office/spreadsheetml/2009/9/main" objectType="Radio" firstButton="1" fmlaLink="DropdownsDNT!$E$48"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List" dx="22" fmlaLink="DropdownsDNT!$Q$1" fmlaRange="DropdownsDNT!$Z$18:$Z$21" noThreeD="1" sel="1" val="0"/>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List" dx="22" fmlaLink="DropdownsDNT!$D$36" fmlaRange="DONOTTOUCH!$T$2:$T$20" noThreeD="1" sel="1" val="0"/>
</file>

<file path=xl/ctrlProps/ctrlProp8.xml><?xml version="1.0" encoding="utf-8"?>
<formControlPr xmlns="http://schemas.microsoft.com/office/spreadsheetml/2009/9/main" objectType="List" dx="22" fmlaLink="DropdownsDNT!$O$2" fmlaRange="DropdownsDNT!$N$3:$N$130" noThreeD="1" sel="6" val="0"/>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7" Type="http://schemas.openxmlformats.org/officeDocument/2006/relationships/image" Target="../media/image8.jpg"/><Relationship Id="rId2" Type="http://schemas.openxmlformats.org/officeDocument/2006/relationships/image" Target="../media/image3.jpg"/><Relationship Id="rId1" Type="http://schemas.openxmlformats.org/officeDocument/2006/relationships/image" Target="../media/image2.pn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emf"/><Relationship Id="rId1" Type="http://schemas.openxmlformats.org/officeDocument/2006/relationships/image" Target="../media/image9.emf"/><Relationship Id="rId5" Type="http://schemas.openxmlformats.org/officeDocument/2006/relationships/image" Target="../media/image13.jpeg"/><Relationship Id="rId4" Type="http://schemas.openxmlformats.org/officeDocument/2006/relationships/image" Target="../media/image12.emf"/></Relationships>
</file>

<file path=xl/drawings/_rels/drawing4.xml.rels><?xml version="1.0" encoding="UTF-8" standalone="yes"?>
<Relationships xmlns="http://schemas.openxmlformats.org/package/2006/relationships"><Relationship Id="rId8" Type="http://schemas.openxmlformats.org/officeDocument/2006/relationships/image" Target="../media/image24.png"/><Relationship Id="rId13" Type="http://schemas.openxmlformats.org/officeDocument/2006/relationships/image" Target="../media/image29.png"/><Relationship Id="rId18" Type="http://schemas.openxmlformats.org/officeDocument/2006/relationships/image" Target="../media/image34.png"/><Relationship Id="rId3" Type="http://schemas.openxmlformats.org/officeDocument/2006/relationships/image" Target="../media/image19.png"/><Relationship Id="rId7" Type="http://schemas.openxmlformats.org/officeDocument/2006/relationships/image" Target="../media/image23.png"/><Relationship Id="rId12" Type="http://schemas.openxmlformats.org/officeDocument/2006/relationships/image" Target="../media/image28.png"/><Relationship Id="rId17" Type="http://schemas.openxmlformats.org/officeDocument/2006/relationships/image" Target="../media/image33.png"/><Relationship Id="rId2" Type="http://schemas.openxmlformats.org/officeDocument/2006/relationships/image" Target="../media/image18.png"/><Relationship Id="rId16" Type="http://schemas.openxmlformats.org/officeDocument/2006/relationships/image" Target="../media/image32.jpeg"/><Relationship Id="rId1" Type="http://schemas.openxmlformats.org/officeDocument/2006/relationships/image" Target="../media/image17.png"/><Relationship Id="rId6" Type="http://schemas.openxmlformats.org/officeDocument/2006/relationships/image" Target="../media/image22.png"/><Relationship Id="rId11" Type="http://schemas.openxmlformats.org/officeDocument/2006/relationships/image" Target="../media/image27.jpeg"/><Relationship Id="rId5" Type="http://schemas.openxmlformats.org/officeDocument/2006/relationships/image" Target="../media/image21.png"/><Relationship Id="rId15" Type="http://schemas.openxmlformats.org/officeDocument/2006/relationships/image" Target="../media/image31.jpeg"/><Relationship Id="rId10" Type="http://schemas.openxmlformats.org/officeDocument/2006/relationships/image" Target="../media/image26.png"/><Relationship Id="rId19" Type="http://schemas.openxmlformats.org/officeDocument/2006/relationships/image" Target="../media/image35.png"/><Relationship Id="rId4" Type="http://schemas.openxmlformats.org/officeDocument/2006/relationships/image" Target="../media/image20.png"/><Relationship Id="rId9" Type="http://schemas.openxmlformats.org/officeDocument/2006/relationships/image" Target="../media/image25.png"/><Relationship Id="rId14" Type="http://schemas.openxmlformats.org/officeDocument/2006/relationships/image" Target="../media/image30.png"/></Relationships>
</file>

<file path=xl/drawings/_rels/drawing5.xml.rels><?xml version="1.0" encoding="UTF-8" standalone="yes"?>
<Relationships xmlns="http://schemas.openxmlformats.org/package/2006/relationships"><Relationship Id="rId8" Type="http://schemas.openxmlformats.org/officeDocument/2006/relationships/image" Target="../media/image43.png"/><Relationship Id="rId3" Type="http://schemas.openxmlformats.org/officeDocument/2006/relationships/image" Target="../media/image38.png"/><Relationship Id="rId7" Type="http://schemas.openxmlformats.org/officeDocument/2006/relationships/image" Target="../media/image42.png"/><Relationship Id="rId2" Type="http://schemas.openxmlformats.org/officeDocument/2006/relationships/image" Target="../media/image37.png"/><Relationship Id="rId1" Type="http://schemas.openxmlformats.org/officeDocument/2006/relationships/image" Target="../media/image36.png"/><Relationship Id="rId6" Type="http://schemas.openxmlformats.org/officeDocument/2006/relationships/image" Target="../media/image41.png"/><Relationship Id="rId5" Type="http://schemas.openxmlformats.org/officeDocument/2006/relationships/image" Target="../media/image40.png"/><Relationship Id="rId4" Type="http://schemas.openxmlformats.org/officeDocument/2006/relationships/image" Target="../media/image39.png"/></Relationships>
</file>

<file path=xl/drawings/_rels/drawing6.xml.rels><?xml version="1.0" encoding="UTF-8" standalone="yes"?>
<Relationships xmlns="http://schemas.openxmlformats.org/package/2006/relationships"><Relationship Id="rId13" Type="http://schemas.openxmlformats.org/officeDocument/2006/relationships/image" Target="../media/image56.png"/><Relationship Id="rId18" Type="http://schemas.openxmlformats.org/officeDocument/2006/relationships/image" Target="../media/image61.emf"/><Relationship Id="rId26" Type="http://schemas.openxmlformats.org/officeDocument/2006/relationships/image" Target="../media/image69.png"/><Relationship Id="rId39" Type="http://schemas.openxmlformats.org/officeDocument/2006/relationships/image" Target="../media/image81.JPG"/><Relationship Id="rId21" Type="http://schemas.openxmlformats.org/officeDocument/2006/relationships/image" Target="../media/image64.emf"/><Relationship Id="rId34" Type="http://schemas.openxmlformats.org/officeDocument/2006/relationships/image" Target="../media/image76.jpg"/><Relationship Id="rId42" Type="http://schemas.openxmlformats.org/officeDocument/2006/relationships/image" Target="../media/image84.jpg"/><Relationship Id="rId47" Type="http://schemas.openxmlformats.org/officeDocument/2006/relationships/image" Target="../media/image89.jpg"/><Relationship Id="rId50" Type="http://schemas.openxmlformats.org/officeDocument/2006/relationships/image" Target="../media/image92.jpg"/><Relationship Id="rId7" Type="http://schemas.openxmlformats.org/officeDocument/2006/relationships/image" Target="../media/image50.emf"/><Relationship Id="rId2" Type="http://schemas.openxmlformats.org/officeDocument/2006/relationships/image" Target="../media/image45.emf"/><Relationship Id="rId16" Type="http://schemas.openxmlformats.org/officeDocument/2006/relationships/image" Target="../media/image59.png"/><Relationship Id="rId29" Type="http://schemas.openxmlformats.org/officeDocument/2006/relationships/image" Target="../media/image8.jpg"/><Relationship Id="rId11" Type="http://schemas.openxmlformats.org/officeDocument/2006/relationships/image" Target="../media/image54.png"/><Relationship Id="rId24" Type="http://schemas.openxmlformats.org/officeDocument/2006/relationships/image" Target="../media/image67.emf"/><Relationship Id="rId32" Type="http://schemas.openxmlformats.org/officeDocument/2006/relationships/image" Target="../media/image74.jpg"/><Relationship Id="rId37" Type="http://schemas.openxmlformats.org/officeDocument/2006/relationships/image" Target="../media/image79.jpg"/><Relationship Id="rId40" Type="http://schemas.openxmlformats.org/officeDocument/2006/relationships/image" Target="../media/image82.JPG"/><Relationship Id="rId45" Type="http://schemas.openxmlformats.org/officeDocument/2006/relationships/image" Target="../media/image87.jpg"/><Relationship Id="rId5" Type="http://schemas.openxmlformats.org/officeDocument/2006/relationships/image" Target="../media/image48.emf"/><Relationship Id="rId15" Type="http://schemas.openxmlformats.org/officeDocument/2006/relationships/image" Target="../media/image58.png"/><Relationship Id="rId23" Type="http://schemas.openxmlformats.org/officeDocument/2006/relationships/image" Target="../media/image66.png"/><Relationship Id="rId28" Type="http://schemas.openxmlformats.org/officeDocument/2006/relationships/image" Target="../media/image71.emf"/><Relationship Id="rId36" Type="http://schemas.openxmlformats.org/officeDocument/2006/relationships/image" Target="../media/image78.jpg"/><Relationship Id="rId49" Type="http://schemas.openxmlformats.org/officeDocument/2006/relationships/image" Target="../media/image91.jpg"/><Relationship Id="rId10" Type="http://schemas.openxmlformats.org/officeDocument/2006/relationships/image" Target="../media/image53.png"/><Relationship Id="rId19" Type="http://schemas.openxmlformats.org/officeDocument/2006/relationships/image" Target="../media/image62.emf"/><Relationship Id="rId31" Type="http://schemas.openxmlformats.org/officeDocument/2006/relationships/image" Target="../media/image73.jpg"/><Relationship Id="rId44" Type="http://schemas.openxmlformats.org/officeDocument/2006/relationships/image" Target="../media/image86.jpg"/><Relationship Id="rId4" Type="http://schemas.openxmlformats.org/officeDocument/2006/relationships/image" Target="../media/image47.emf"/><Relationship Id="rId9" Type="http://schemas.openxmlformats.org/officeDocument/2006/relationships/image" Target="../media/image52.png"/><Relationship Id="rId14" Type="http://schemas.openxmlformats.org/officeDocument/2006/relationships/image" Target="../media/image57.png"/><Relationship Id="rId22" Type="http://schemas.openxmlformats.org/officeDocument/2006/relationships/image" Target="../media/image65.png"/><Relationship Id="rId27" Type="http://schemas.openxmlformats.org/officeDocument/2006/relationships/image" Target="../media/image70.png"/><Relationship Id="rId30" Type="http://schemas.openxmlformats.org/officeDocument/2006/relationships/image" Target="../media/image72.jpg"/><Relationship Id="rId35" Type="http://schemas.openxmlformats.org/officeDocument/2006/relationships/image" Target="../media/image77.jpg"/><Relationship Id="rId43" Type="http://schemas.openxmlformats.org/officeDocument/2006/relationships/image" Target="../media/image85.jpg"/><Relationship Id="rId48" Type="http://schemas.openxmlformats.org/officeDocument/2006/relationships/image" Target="../media/image90.jpg"/><Relationship Id="rId8" Type="http://schemas.openxmlformats.org/officeDocument/2006/relationships/image" Target="../media/image51.png"/><Relationship Id="rId3" Type="http://schemas.openxmlformats.org/officeDocument/2006/relationships/image" Target="../media/image46.emf"/><Relationship Id="rId12" Type="http://schemas.openxmlformats.org/officeDocument/2006/relationships/image" Target="../media/image55.png"/><Relationship Id="rId17" Type="http://schemas.openxmlformats.org/officeDocument/2006/relationships/image" Target="../media/image60.emf"/><Relationship Id="rId25" Type="http://schemas.openxmlformats.org/officeDocument/2006/relationships/image" Target="../media/image68.emf"/><Relationship Id="rId33" Type="http://schemas.openxmlformats.org/officeDocument/2006/relationships/image" Target="../media/image75.jpg"/><Relationship Id="rId38" Type="http://schemas.openxmlformats.org/officeDocument/2006/relationships/image" Target="../media/image80.jpg"/><Relationship Id="rId46" Type="http://schemas.openxmlformats.org/officeDocument/2006/relationships/image" Target="../media/image88.jpg"/><Relationship Id="rId20" Type="http://schemas.openxmlformats.org/officeDocument/2006/relationships/image" Target="../media/image63.emf"/><Relationship Id="rId41" Type="http://schemas.openxmlformats.org/officeDocument/2006/relationships/image" Target="../media/image83.jpg"/><Relationship Id="rId1" Type="http://schemas.openxmlformats.org/officeDocument/2006/relationships/image" Target="../media/image44.emf"/><Relationship Id="rId6" Type="http://schemas.openxmlformats.org/officeDocument/2006/relationships/image" Target="../media/image49.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94.emf"/><Relationship Id="rId1" Type="http://schemas.openxmlformats.org/officeDocument/2006/relationships/image" Target="../media/image9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349886</xdr:colOff>
      <xdr:row>38</xdr:row>
      <xdr:rowOff>102870</xdr:rowOff>
    </xdr:to>
    <xdr:pic>
      <xdr:nvPicPr>
        <xdr:cNvPr id="2" name="Picture 1">
          <a:extLst>
            <a:ext uri="{FF2B5EF4-FFF2-40B4-BE49-F238E27FC236}">
              <a16:creationId xmlns:a16="http://schemas.microsoft.com/office/drawing/2014/main" id="{1306B683-C524-7E81-29F0-53A6E47394A6}"/>
            </a:ext>
          </a:extLst>
        </xdr:cNvPr>
        <xdr:cNvPicPr>
          <a:picLocks noChangeAspect="1"/>
        </xdr:cNvPicPr>
      </xdr:nvPicPr>
      <xdr:blipFill>
        <a:blip xmlns:r="http://schemas.openxmlformats.org/officeDocument/2006/relationships" r:embed="rId1"/>
        <a:stretch>
          <a:fillRect/>
        </a:stretch>
      </xdr:blipFill>
      <xdr:spPr>
        <a:xfrm>
          <a:off x="0" y="0"/>
          <a:ext cx="12511406" cy="7052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1214437</xdr:colOff>
      <xdr:row>3</xdr:row>
      <xdr:rowOff>2716144</xdr:rowOff>
    </xdr:from>
    <xdr:to>
      <xdr:col>0</xdr:col>
      <xdr:colOff>3929760</xdr:colOff>
      <xdr:row>3</xdr:row>
      <xdr:rowOff>4065133</xdr:rowOff>
    </xdr:to>
    <xdr:pic>
      <xdr:nvPicPr>
        <xdr:cNvPr id="21" name="Pictur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
        <a:stretch>
          <a:fillRect/>
        </a:stretch>
      </xdr:blipFill>
      <xdr:spPr>
        <a:xfrm>
          <a:off x="1214437" y="15146269"/>
          <a:ext cx="2715323" cy="1348989"/>
        </a:xfrm>
        <a:prstGeom prst="rect">
          <a:avLst/>
        </a:prstGeom>
      </xdr:spPr>
    </xdr:pic>
    <xdr:clientData/>
  </xdr:twoCellAnchor>
  <xdr:twoCellAnchor editAs="oneCell">
    <xdr:from>
      <xdr:col>0</xdr:col>
      <xdr:colOff>1202652</xdr:colOff>
      <xdr:row>3</xdr:row>
      <xdr:rowOff>1339035</xdr:rowOff>
    </xdr:from>
    <xdr:to>
      <xdr:col>0</xdr:col>
      <xdr:colOff>3929062</xdr:colOff>
      <xdr:row>3</xdr:row>
      <xdr:rowOff>2693532</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a:stretch>
          <a:fillRect/>
        </a:stretch>
      </xdr:blipFill>
      <xdr:spPr>
        <a:xfrm>
          <a:off x="1202652" y="13769160"/>
          <a:ext cx="2726410" cy="1354497"/>
        </a:xfrm>
        <a:prstGeom prst="rect">
          <a:avLst/>
        </a:prstGeom>
      </xdr:spPr>
    </xdr:pic>
    <xdr:clientData/>
  </xdr:twoCellAnchor>
  <xdr:twoCellAnchor>
    <xdr:from>
      <xdr:col>0</xdr:col>
      <xdr:colOff>571500</xdr:colOff>
      <xdr:row>3</xdr:row>
      <xdr:rowOff>1333500</xdr:rowOff>
    </xdr:from>
    <xdr:to>
      <xdr:col>0</xdr:col>
      <xdr:colOff>2015289</xdr:colOff>
      <xdr:row>3</xdr:row>
      <xdr:rowOff>1499571</xdr:rowOff>
    </xdr:to>
    <xdr:sp macro="" textlink="">
      <xdr:nvSpPr>
        <xdr:cNvPr id="14" name="TextBox 17">
          <a:extLst>
            <a:ext uri="{FF2B5EF4-FFF2-40B4-BE49-F238E27FC236}">
              <a16:creationId xmlns:a16="http://schemas.microsoft.com/office/drawing/2014/main" id="{00000000-0008-0000-0200-00000E000000}"/>
            </a:ext>
          </a:extLst>
        </xdr:cNvPr>
        <xdr:cNvSpPr txBox="1"/>
      </xdr:nvSpPr>
      <xdr:spPr>
        <a:xfrm>
          <a:off x="571500" y="13763625"/>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Ground Floor</a:t>
          </a:r>
        </a:p>
      </xdr:txBody>
    </xdr:sp>
    <xdr:clientData/>
  </xdr:twoCellAnchor>
  <xdr:twoCellAnchor>
    <xdr:from>
      <xdr:col>0</xdr:col>
      <xdr:colOff>702058</xdr:colOff>
      <xdr:row>3</xdr:row>
      <xdr:rowOff>2735115</xdr:rowOff>
    </xdr:from>
    <xdr:to>
      <xdr:col>0</xdr:col>
      <xdr:colOff>2145847</xdr:colOff>
      <xdr:row>3</xdr:row>
      <xdr:rowOff>2901186</xdr:rowOff>
    </xdr:to>
    <xdr:sp macro="" textlink="">
      <xdr:nvSpPr>
        <xdr:cNvPr id="15" name="TextBox 18">
          <a:extLst>
            <a:ext uri="{FF2B5EF4-FFF2-40B4-BE49-F238E27FC236}">
              <a16:creationId xmlns:a16="http://schemas.microsoft.com/office/drawing/2014/main" id="{00000000-0008-0000-0200-00000F000000}"/>
            </a:ext>
          </a:extLst>
        </xdr:cNvPr>
        <xdr:cNvSpPr txBox="1"/>
      </xdr:nvSpPr>
      <xdr:spPr>
        <a:xfrm>
          <a:off x="702058" y="15165240"/>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First Floor</a:t>
          </a:r>
        </a:p>
      </xdr:txBody>
    </xdr:sp>
    <xdr:clientData/>
  </xdr:twoCellAnchor>
  <xdr:twoCellAnchor editAs="oneCell">
    <xdr:from>
      <xdr:col>0</xdr:col>
      <xdr:colOff>603244</xdr:colOff>
      <xdr:row>2</xdr:row>
      <xdr:rowOff>1643076</xdr:rowOff>
    </xdr:from>
    <xdr:to>
      <xdr:col>0</xdr:col>
      <xdr:colOff>4839643</xdr:colOff>
      <xdr:row>2</xdr:row>
      <xdr:rowOff>4143389</xdr:rowOff>
    </xdr:to>
    <xdr:pic>
      <xdr:nvPicPr>
        <xdr:cNvPr id="2" name="Picture 1" descr="Diagram, engineering drawing&#10;&#10;Description automatically generated">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2"/>
        <a:srcRect b="5689"/>
        <a:stretch/>
      </xdr:blipFill>
      <xdr:spPr>
        <a:xfrm>
          <a:off x="603244" y="9953639"/>
          <a:ext cx="4236399" cy="2500313"/>
        </a:xfrm>
        <a:prstGeom prst="rect">
          <a:avLst/>
        </a:prstGeom>
      </xdr:spPr>
    </xdr:pic>
    <xdr:clientData/>
  </xdr:twoCellAnchor>
  <xdr:twoCellAnchor editAs="oneCell">
    <xdr:from>
      <xdr:col>0</xdr:col>
      <xdr:colOff>750090</xdr:colOff>
      <xdr:row>1</xdr:row>
      <xdr:rowOff>1547812</xdr:rowOff>
    </xdr:from>
    <xdr:to>
      <xdr:col>0</xdr:col>
      <xdr:colOff>4763297</xdr:colOff>
      <xdr:row>1</xdr:row>
      <xdr:rowOff>4128737</xdr:rowOff>
    </xdr:to>
    <xdr:pic>
      <xdr:nvPicPr>
        <xdr:cNvPr id="3" name="Picture 2" descr="Diagram&#10;&#10;Description automatically generated">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750090" y="5703093"/>
          <a:ext cx="4013207" cy="2580925"/>
        </a:xfrm>
        <a:prstGeom prst="rect">
          <a:avLst/>
        </a:prstGeom>
      </xdr:spPr>
    </xdr:pic>
    <xdr:clientData/>
  </xdr:twoCellAnchor>
  <xdr:twoCellAnchor editAs="oneCell">
    <xdr:from>
      <xdr:col>0</xdr:col>
      <xdr:colOff>250026</xdr:colOff>
      <xdr:row>5</xdr:row>
      <xdr:rowOff>1757108</xdr:rowOff>
    </xdr:from>
    <xdr:to>
      <xdr:col>1</xdr:col>
      <xdr:colOff>83338</xdr:colOff>
      <xdr:row>6</xdr:row>
      <xdr:rowOff>23742</xdr:rowOff>
    </xdr:to>
    <xdr:pic>
      <xdr:nvPicPr>
        <xdr:cNvPr id="4" name="Picture 3" descr="Diagram, engineering drawing&#10;&#10;Description automatically generated">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stretch>
          <a:fillRect/>
        </a:stretch>
      </xdr:blipFill>
      <xdr:spPr>
        <a:xfrm>
          <a:off x="250026" y="22533514"/>
          <a:ext cx="5214937" cy="2421916"/>
        </a:xfrm>
        <a:prstGeom prst="rect">
          <a:avLst/>
        </a:prstGeom>
      </xdr:spPr>
    </xdr:pic>
    <xdr:clientData/>
  </xdr:twoCellAnchor>
  <xdr:twoCellAnchor editAs="oneCell">
    <xdr:from>
      <xdr:col>0</xdr:col>
      <xdr:colOff>134938</xdr:colOff>
      <xdr:row>6</xdr:row>
      <xdr:rowOff>1666871</xdr:rowOff>
    </xdr:from>
    <xdr:to>
      <xdr:col>0</xdr:col>
      <xdr:colOff>5176978</xdr:colOff>
      <xdr:row>6</xdr:row>
      <xdr:rowOff>4125925</xdr:rowOff>
    </xdr:to>
    <xdr:pic>
      <xdr:nvPicPr>
        <xdr:cNvPr id="5" name="Picture 4" descr="Diagram&#10;&#10;Description automatically generated">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stretch>
          <a:fillRect/>
        </a:stretch>
      </xdr:blipFill>
      <xdr:spPr>
        <a:xfrm>
          <a:off x="134938" y="26574746"/>
          <a:ext cx="5042040" cy="2459054"/>
        </a:xfrm>
        <a:prstGeom prst="rect">
          <a:avLst/>
        </a:prstGeom>
      </xdr:spPr>
    </xdr:pic>
    <xdr:clientData/>
  </xdr:twoCellAnchor>
  <xdr:twoCellAnchor editAs="oneCell">
    <xdr:from>
      <xdr:col>0</xdr:col>
      <xdr:colOff>329402</xdr:colOff>
      <xdr:row>4</xdr:row>
      <xdr:rowOff>1512942</xdr:rowOff>
    </xdr:from>
    <xdr:to>
      <xdr:col>0</xdr:col>
      <xdr:colOff>5218902</xdr:colOff>
      <xdr:row>4</xdr:row>
      <xdr:rowOff>3956070</xdr:rowOff>
    </xdr:to>
    <xdr:pic>
      <xdr:nvPicPr>
        <xdr:cNvPr id="6" name="Picture 5" descr="Graphical user interface&#10;&#10;Description automatically generated">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6"/>
        <a:srcRect l="5190" t="10026" r="4482" b="10911"/>
        <a:stretch/>
      </xdr:blipFill>
      <xdr:spPr>
        <a:xfrm>
          <a:off x="329402" y="18134067"/>
          <a:ext cx="4889500" cy="2443128"/>
        </a:xfrm>
        <a:prstGeom prst="rect">
          <a:avLst/>
        </a:prstGeom>
      </xdr:spPr>
    </xdr:pic>
    <xdr:clientData/>
  </xdr:twoCellAnchor>
  <xdr:twoCellAnchor editAs="oneCell">
    <xdr:from>
      <xdr:col>0</xdr:col>
      <xdr:colOff>936625</xdr:colOff>
      <xdr:row>0</xdr:row>
      <xdr:rowOff>1630389</xdr:rowOff>
    </xdr:from>
    <xdr:to>
      <xdr:col>0</xdr:col>
      <xdr:colOff>4095750</xdr:colOff>
      <xdr:row>1</xdr:row>
      <xdr:rowOff>68677</xdr:rowOff>
    </xdr:to>
    <xdr:pic>
      <xdr:nvPicPr>
        <xdr:cNvPr id="7" name="Picture 6" descr="Diagram, engineering drawing&#10;&#10;Description automatically generated">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a:stretch>
          <a:fillRect/>
        </a:stretch>
      </xdr:blipFill>
      <xdr:spPr>
        <a:xfrm>
          <a:off x="936625" y="1630389"/>
          <a:ext cx="3159125" cy="2589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59576</xdr:colOff>
          <xdr:row>1</xdr:row>
          <xdr:rowOff>267649</xdr:rowOff>
        </xdr:from>
        <xdr:to>
          <xdr:col>11</xdr:col>
          <xdr:colOff>4056</xdr:colOff>
          <xdr:row>30</xdr:row>
          <xdr:rowOff>109710</xdr:rowOff>
        </xdr:to>
        <xdr:pic>
          <xdr:nvPicPr>
            <xdr:cNvPr id="4" name="Picture 3">
              <a:extLst>
                <a:ext uri="{FF2B5EF4-FFF2-40B4-BE49-F238E27FC236}">
                  <a16:creationId xmlns:a16="http://schemas.microsoft.com/office/drawing/2014/main" id="{00000000-0008-0000-0300-000004000000}"/>
                </a:ext>
              </a:extLst>
            </xdr:cNvPr>
            <xdr:cNvPicPr>
              <a:picLocks noChangeAspect="1"/>
              <a:extLst>
                <a:ext uri="{84589F7E-364E-4C9E-8A38-B11213B215E9}">
                  <a14:cameraTool cellRange="Image" spid="_x0000_s55658"/>
                </a:ext>
              </a:extLst>
            </xdr:cNvPicPr>
          </xdr:nvPicPr>
          <xdr:blipFill>
            <a:blip xmlns:r="http://schemas.openxmlformats.org/officeDocument/2006/relationships" r:embed="rId1"/>
            <a:stretch>
              <a:fillRect/>
            </a:stretch>
          </xdr:blipFill>
          <xdr:spPr>
            <a:xfrm>
              <a:off x="3672726" y="362899"/>
              <a:ext cx="6605630" cy="5595161"/>
            </a:xfrm>
            <a:prstGeom prst="rect">
              <a:avLst/>
            </a:prstGeom>
            <a:ln>
              <a:solidFill>
                <a:sysClr val="windowText" lastClr="000000"/>
              </a:solidFill>
            </a:ln>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107818</xdr:colOff>
          <xdr:row>2</xdr:row>
          <xdr:rowOff>19051</xdr:rowOff>
        </xdr:from>
        <xdr:to>
          <xdr:col>11</xdr:col>
          <xdr:colOff>11580</xdr:colOff>
          <xdr:row>30</xdr:row>
          <xdr:rowOff>76200</xdr:rowOff>
        </xdr:to>
        <xdr:pic>
          <xdr:nvPicPr>
            <xdr:cNvPr id="19" name="Picture 18">
              <a:extLst>
                <a:ext uri="{FF2B5EF4-FFF2-40B4-BE49-F238E27FC236}">
                  <a16:creationId xmlns:a16="http://schemas.microsoft.com/office/drawing/2014/main" id="{00000000-0008-0000-0300-000013000000}"/>
                </a:ext>
              </a:extLst>
            </xdr:cNvPr>
            <xdr:cNvPicPr>
              <a:picLocks noChangeAspect="1"/>
              <a:extLst>
                <a:ext uri="{84589F7E-364E-4C9E-8A38-B11213B215E9}">
                  <a14:cameraTool cellRange="Image2" spid="_x0000_s55659"/>
                </a:ext>
              </a:extLst>
            </xdr:cNvPicPr>
          </xdr:nvPicPr>
          <xdr:blipFill>
            <a:blip xmlns:r="http://schemas.openxmlformats.org/officeDocument/2006/relationships" r:embed="rId2"/>
            <a:stretch>
              <a:fillRect/>
            </a:stretch>
          </xdr:blipFill>
          <xdr:spPr>
            <a:xfrm>
              <a:off x="3584443" y="390526"/>
              <a:ext cx="6266462" cy="5629274"/>
            </a:xfrm>
            <a:prstGeom prst="rect">
              <a:avLst/>
            </a:prstGeom>
            <a:ln>
              <a:noFill/>
            </a:ln>
          </xdr:spPr>
        </xdr:pic>
        <xdr:clientData/>
      </xdr:twoCellAnchor>
    </mc:Choice>
    <mc:Fallback/>
  </mc:AlternateContent>
  <xdr:twoCellAnchor editAs="oneCell">
    <xdr:from>
      <xdr:col>12</xdr:col>
      <xdr:colOff>90715</xdr:colOff>
      <xdr:row>1</xdr:row>
      <xdr:rowOff>68591</xdr:rowOff>
    </xdr:from>
    <xdr:to>
      <xdr:col>13</xdr:col>
      <xdr:colOff>174260</xdr:colOff>
      <xdr:row>6</xdr:row>
      <xdr:rowOff>8029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30733" y="163841"/>
          <a:ext cx="1138098" cy="8851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68580</xdr:colOff>
          <xdr:row>4</xdr:row>
          <xdr:rowOff>171450</xdr:rowOff>
        </xdr:from>
        <xdr:to>
          <xdr:col>4</xdr:col>
          <xdr:colOff>906780</xdr:colOff>
          <xdr:row>6</xdr:row>
          <xdr:rowOff>49530</xdr:rowOff>
        </xdr:to>
        <xdr:sp macro="" textlink="">
          <xdr:nvSpPr>
            <xdr:cNvPr id="3284" name="Option Button 212" hidden="1">
              <a:extLst>
                <a:ext uri="{63B3BB69-23CF-44E3-9099-C40C66FF867C}">
                  <a14:compatExt spid="_x0000_s3284"/>
                </a:ext>
                <a:ext uri="{FF2B5EF4-FFF2-40B4-BE49-F238E27FC236}">
                  <a16:creationId xmlns:a16="http://schemas.microsoft.com/office/drawing/2014/main" id="{00000000-0008-0000-03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Common Uniform Building Envelope (CUBE)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xdr:row>
          <xdr:rowOff>171450</xdr:rowOff>
        </xdr:from>
        <xdr:to>
          <xdr:col>4</xdr:col>
          <xdr:colOff>906780</xdr:colOff>
          <xdr:row>8</xdr:row>
          <xdr:rowOff>19050</xdr:rowOff>
        </xdr:to>
        <xdr:sp macro="" textlink="">
          <xdr:nvSpPr>
            <xdr:cNvPr id="3285" name="Option Button 213" hidden="1">
              <a:extLst>
                <a:ext uri="{63B3BB69-23CF-44E3-9099-C40C66FF867C}">
                  <a14:compatExt spid="_x0000_s3285"/>
                </a:ext>
                <a:ext uri="{FF2B5EF4-FFF2-40B4-BE49-F238E27FC236}">
                  <a16:creationId xmlns:a16="http://schemas.microsoft.com/office/drawing/2014/main" id="{00000000-0008-0000-03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Four Area CMU Envelope (FACE)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201930</xdr:rowOff>
        </xdr:from>
        <xdr:to>
          <xdr:col>4</xdr:col>
          <xdr:colOff>914400</xdr:colOff>
          <xdr:row>10</xdr:row>
          <xdr:rowOff>0</xdr:rowOff>
        </xdr:to>
        <xdr:sp macro="" textlink="">
          <xdr:nvSpPr>
            <xdr:cNvPr id="3286" name="Option Button 214" hidden="1">
              <a:extLst>
                <a:ext uri="{63B3BB69-23CF-44E3-9099-C40C66FF867C}">
                  <a14:compatExt spid="_x0000_s3286"/>
                </a:ext>
                <a:ext uri="{FF2B5EF4-FFF2-40B4-BE49-F238E27FC236}">
                  <a16:creationId xmlns:a16="http://schemas.microsoft.com/office/drawing/2014/main" id="{00000000-0008-0000-03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Multi Use Tall Envelope (MUTE)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12</xdr:row>
          <xdr:rowOff>182880</xdr:rowOff>
        </xdr:from>
        <xdr:to>
          <xdr:col>4</xdr:col>
          <xdr:colOff>1363980</xdr:colOff>
          <xdr:row>13</xdr:row>
          <xdr:rowOff>201930</xdr:rowOff>
        </xdr:to>
        <xdr:sp macro="" textlink="">
          <xdr:nvSpPr>
            <xdr:cNvPr id="3287" name="Option Button 215" hidden="1">
              <a:extLst>
                <a:ext uri="{63B3BB69-23CF-44E3-9099-C40C66FF867C}">
                  <a14:compatExt spid="_x0000_s3287"/>
                </a:ext>
                <a:ext uri="{FF2B5EF4-FFF2-40B4-BE49-F238E27FC236}">
                  <a16:creationId xmlns:a16="http://schemas.microsoft.com/office/drawing/2014/main" id="{00000000-0008-0000-03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Standard Adaptive Facility Envelope (SAFE)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xdr:row>
          <xdr:rowOff>163830</xdr:rowOff>
        </xdr:from>
        <xdr:to>
          <xdr:col>4</xdr:col>
          <xdr:colOff>906780</xdr:colOff>
          <xdr:row>9</xdr:row>
          <xdr:rowOff>30480</xdr:rowOff>
        </xdr:to>
        <xdr:sp macro="" textlink="">
          <xdr:nvSpPr>
            <xdr:cNvPr id="3289" name="Option Button 217" hidden="1">
              <a:extLst>
                <a:ext uri="{63B3BB69-23CF-44E3-9099-C40C66FF867C}">
                  <a14:compatExt spid="_x0000_s3289"/>
                </a:ext>
                <a:ext uri="{FF2B5EF4-FFF2-40B4-BE49-F238E27FC236}">
                  <a16:creationId xmlns:a16="http://schemas.microsoft.com/office/drawing/2014/main" id="{00000000-0008-0000-03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Standard Adaptive  Facility Envelope (SAFE1)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xdr:colOff>
          <xdr:row>10</xdr:row>
          <xdr:rowOff>11430</xdr:rowOff>
        </xdr:from>
        <xdr:to>
          <xdr:col>4</xdr:col>
          <xdr:colOff>1211580</xdr:colOff>
          <xdr:row>11</xdr:row>
          <xdr:rowOff>19050</xdr:rowOff>
        </xdr:to>
        <xdr:sp macro="" textlink="">
          <xdr:nvSpPr>
            <xdr:cNvPr id="3321" name="Option Button 249" descr="Tactically Earthen Rapidly Raised Assembly Hut" hidden="1">
              <a:extLst>
                <a:ext uri="{63B3BB69-23CF-44E3-9099-C40C66FF867C}">
                  <a14:compatExt spid="_x0000_s3321"/>
                </a:ext>
                <a:ext uri="{FF2B5EF4-FFF2-40B4-BE49-F238E27FC236}">
                  <a16:creationId xmlns:a16="http://schemas.microsoft.com/office/drawing/2014/main" id="{00000000-0008-0000-03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Tactically Earthen Rapidly Raised Assembly Hut (TERRA Hut)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0</xdr:rowOff>
        </xdr:from>
        <xdr:to>
          <xdr:col>4</xdr:col>
          <xdr:colOff>1078230</xdr:colOff>
          <xdr:row>29</xdr:row>
          <xdr:rowOff>133350</xdr:rowOff>
        </xdr:to>
        <xdr:sp macro="" textlink="">
          <xdr:nvSpPr>
            <xdr:cNvPr id="3329" name="List Box 257" hidden="1">
              <a:extLst>
                <a:ext uri="{63B3BB69-23CF-44E3-9099-C40C66FF867C}">
                  <a14:compatExt spid="_x0000_s3329"/>
                </a:ext>
                <a:ext uri="{FF2B5EF4-FFF2-40B4-BE49-F238E27FC236}">
                  <a16:creationId xmlns:a16="http://schemas.microsoft.com/office/drawing/2014/main" id="{00000000-0008-0000-0300-000001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57150</xdr:rowOff>
        </xdr:from>
        <xdr:to>
          <xdr:col>4</xdr:col>
          <xdr:colOff>1287780</xdr:colOff>
          <xdr:row>41</xdr:row>
          <xdr:rowOff>133350</xdr:rowOff>
        </xdr:to>
        <xdr:sp macro="" textlink="">
          <xdr:nvSpPr>
            <xdr:cNvPr id="3363" name="List Box 291" hidden="1">
              <a:extLst>
                <a:ext uri="{63B3BB69-23CF-44E3-9099-C40C66FF867C}">
                  <a14:compatExt spid="_x0000_s3363"/>
                </a:ext>
                <a:ext uri="{FF2B5EF4-FFF2-40B4-BE49-F238E27FC236}">
                  <a16:creationId xmlns:a16="http://schemas.microsoft.com/office/drawing/2014/main" id="{00000000-0008-0000-0300-0000230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11430</xdr:rowOff>
        </xdr:from>
        <xdr:to>
          <xdr:col>3</xdr:col>
          <xdr:colOff>438150</xdr:colOff>
          <xdr:row>37</xdr:row>
          <xdr:rowOff>95250</xdr:rowOff>
        </xdr:to>
        <xdr:sp macro="" textlink="">
          <xdr:nvSpPr>
            <xdr:cNvPr id="3365" name="Group Box 293" hidden="1">
              <a:extLst>
                <a:ext uri="{63B3BB69-23CF-44E3-9099-C40C66FF867C}">
                  <a14:compatExt spid="_x0000_s3365"/>
                </a:ext>
                <a:ext uri="{FF2B5EF4-FFF2-40B4-BE49-F238E27FC236}">
                  <a16:creationId xmlns:a16="http://schemas.microsoft.com/office/drawing/2014/main" id="{00000000-0008-0000-0300-00002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35</xdr:row>
          <xdr:rowOff>57150</xdr:rowOff>
        </xdr:from>
        <xdr:to>
          <xdr:col>3</xdr:col>
          <xdr:colOff>411480</xdr:colOff>
          <xdr:row>36</xdr:row>
          <xdr:rowOff>95250</xdr:rowOff>
        </xdr:to>
        <xdr:sp macro="" textlink="">
          <xdr:nvSpPr>
            <xdr:cNvPr id="3366" name="Option Button 294" hidden="1">
              <a:extLst>
                <a:ext uri="{63B3BB69-23CF-44E3-9099-C40C66FF867C}">
                  <a14:compatExt spid="_x0000_s3366"/>
                </a:ext>
                <a:ext uri="{FF2B5EF4-FFF2-40B4-BE49-F238E27FC236}">
                  <a16:creationId xmlns:a16="http://schemas.microsoft.com/office/drawing/2014/main" id="{00000000-0008-0000-03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Troop Labor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36</xdr:row>
          <xdr:rowOff>57150</xdr:rowOff>
        </xdr:from>
        <xdr:to>
          <xdr:col>3</xdr:col>
          <xdr:colOff>411480</xdr:colOff>
          <xdr:row>37</xdr:row>
          <xdr:rowOff>87630</xdr:rowOff>
        </xdr:to>
        <xdr:sp macro="" textlink="">
          <xdr:nvSpPr>
            <xdr:cNvPr id="3370" name="Option Button 298" hidden="1">
              <a:extLst>
                <a:ext uri="{63B3BB69-23CF-44E3-9099-C40C66FF867C}">
                  <a14:compatExt spid="_x0000_s3370"/>
                </a:ext>
                <a:ext uri="{FF2B5EF4-FFF2-40B4-BE49-F238E27FC236}">
                  <a16:creationId xmlns:a16="http://schemas.microsoft.com/office/drawing/2014/main" id="{00000000-0008-0000-03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320018</xdr:colOff>
          <xdr:row>4</xdr:row>
          <xdr:rowOff>84244</xdr:rowOff>
        </xdr:from>
        <xdr:to>
          <xdr:col>10</xdr:col>
          <xdr:colOff>1750269</xdr:colOff>
          <xdr:row>9</xdr:row>
          <xdr:rowOff>185420</xdr:rowOff>
        </xdr:to>
        <xdr:pic>
          <xdr:nvPicPr>
            <xdr:cNvPr id="23" name="Picture 22">
              <a:extLst>
                <a:ext uri="{FF2B5EF4-FFF2-40B4-BE49-F238E27FC236}">
                  <a16:creationId xmlns:a16="http://schemas.microsoft.com/office/drawing/2014/main" id="{00000000-0008-0000-0300-000017000000}"/>
                </a:ext>
              </a:extLst>
            </xdr:cNvPr>
            <xdr:cNvPicPr>
              <a:picLocks noChangeAspect="1"/>
              <a:extLst>
                <a:ext uri="{84589F7E-364E-4C9E-8A38-B11213B215E9}">
                  <a14:cameraTool cellRange="Image4Roof" spid="_x0000_s55660"/>
                </a:ext>
              </a:extLst>
            </xdr:cNvPicPr>
          </xdr:nvPicPr>
          <xdr:blipFill>
            <a:blip xmlns:r="http://schemas.openxmlformats.org/officeDocument/2006/relationships" r:embed="rId4"/>
            <a:stretch>
              <a:fillRect/>
            </a:stretch>
          </xdr:blipFill>
          <xdr:spPr>
            <a:xfrm>
              <a:off x="6816068" y="741469"/>
              <a:ext cx="2687551" cy="1074631"/>
            </a:xfrm>
            <a:prstGeom prst="rect">
              <a:avLst/>
            </a:prstGeom>
            <a:ln>
              <a:noFill/>
            </a:ln>
          </xdr:spPr>
        </xdr:pic>
        <xdr:clientData/>
      </xdr:twoCellAnchor>
    </mc:Choice>
    <mc:Fallback/>
  </mc:AlternateContent>
  <xdr:twoCellAnchor>
    <xdr:from>
      <xdr:col>10</xdr:col>
      <xdr:colOff>3362324</xdr:colOff>
      <xdr:row>2</xdr:row>
      <xdr:rowOff>47625</xdr:rowOff>
    </xdr:from>
    <xdr:to>
      <xdr:col>10</xdr:col>
      <xdr:colOff>4238625</xdr:colOff>
      <xdr:row>4</xdr:row>
      <xdr:rowOff>1</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8020049" y="419100"/>
          <a:ext cx="876301"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n>
                <a:noFill/>
              </a:ln>
            </a:rPr>
            <a:t>Roof Type</a:t>
          </a: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30</xdr:row>
          <xdr:rowOff>133350</xdr:rowOff>
        </xdr:from>
        <xdr:to>
          <xdr:col>4</xdr:col>
          <xdr:colOff>76200</xdr:colOff>
          <xdr:row>33</xdr:row>
          <xdr:rowOff>133350</xdr:rowOff>
        </xdr:to>
        <xdr:sp macro="" textlink="">
          <xdr:nvSpPr>
            <xdr:cNvPr id="3898" name="List Box 826" hidden="1">
              <a:extLst>
                <a:ext uri="{63B3BB69-23CF-44E3-9099-C40C66FF867C}">
                  <a14:compatExt spid="_x0000_s3898"/>
                </a:ext>
                <a:ext uri="{FF2B5EF4-FFF2-40B4-BE49-F238E27FC236}">
                  <a16:creationId xmlns:a16="http://schemas.microsoft.com/office/drawing/2014/main" id="{00000000-0008-0000-0300-00003A0F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410632</xdr:colOff>
      <xdr:row>2</xdr:row>
      <xdr:rowOff>47623</xdr:rowOff>
    </xdr:from>
    <xdr:to>
      <xdr:col>10</xdr:col>
      <xdr:colOff>385233</xdr:colOff>
      <xdr:row>4</xdr:row>
      <xdr:rowOff>43390</xdr:rowOff>
    </xdr:to>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6906682" y="419098"/>
          <a:ext cx="1231901" cy="281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ysClr val="windowText" lastClr="000000"/>
              </a:solidFill>
            </a:rPr>
            <a:t>Roof</a:t>
          </a:r>
          <a:r>
            <a:rPr lang="en-US" sz="1400" b="1" baseline="0">
              <a:solidFill>
                <a:sysClr val="windowText" lastClr="000000"/>
              </a:solidFill>
            </a:rPr>
            <a:t> Type</a:t>
          </a:r>
          <a:endParaRPr lang="en-US" sz="1400" b="1">
            <a:solidFill>
              <a:sysClr val="windowText" lastClr="000000"/>
            </a:solidFill>
          </a:endParaRPr>
        </a:p>
      </xdr:txBody>
    </xdr:sp>
    <xdr:clientData/>
  </xdr:twoCellAnchor>
  <xdr:twoCellAnchor>
    <xdr:from>
      <xdr:col>6</xdr:col>
      <xdr:colOff>22106</xdr:colOff>
      <xdr:row>30</xdr:row>
      <xdr:rowOff>9289</xdr:rowOff>
    </xdr:from>
    <xdr:to>
      <xdr:col>8</xdr:col>
      <xdr:colOff>253278</xdr:colOff>
      <xdr:row>31</xdr:row>
      <xdr:rowOff>92748</xdr:rowOff>
    </xdr:to>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3735723" y="5832013"/>
          <a:ext cx="1557868" cy="264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ysClr val="windowText" lastClr="000000"/>
              </a:solidFill>
            </a:rPr>
            <a:t>Interior</a:t>
          </a:r>
          <a:r>
            <a:rPr lang="en-US" sz="1400" b="1" baseline="0">
              <a:solidFill>
                <a:sysClr val="windowText" lastClr="000000"/>
              </a:solidFill>
            </a:rPr>
            <a:t> Layout</a:t>
          </a:r>
          <a:endParaRPr lang="en-US" sz="1400" b="1">
            <a:solidFill>
              <a:sysClr val="windowText" lastClr="000000"/>
            </a:solidFill>
          </a:endParaRPr>
        </a:p>
      </xdr:txBody>
    </xdr:sp>
    <xdr:clientData/>
  </xdr:twoCellAnchor>
  <xdr:twoCellAnchor editAs="oneCell">
    <xdr:from>
      <xdr:col>13</xdr:col>
      <xdr:colOff>417286</xdr:colOff>
      <xdr:row>1</xdr:row>
      <xdr:rowOff>102858</xdr:rowOff>
    </xdr:from>
    <xdr:to>
      <xdr:col>13</xdr:col>
      <xdr:colOff>952499</xdr:colOff>
      <xdr:row>5</xdr:row>
      <xdr:rowOff>144325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5873" r="15009"/>
        <a:stretch/>
      </xdr:blipFill>
      <xdr:spPr>
        <a:xfrm>
          <a:off x="11711215" y="193572"/>
          <a:ext cx="535213" cy="7743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13</xdr:row>
          <xdr:rowOff>182880</xdr:rowOff>
        </xdr:from>
        <xdr:to>
          <xdr:col>4</xdr:col>
          <xdr:colOff>982980</xdr:colOff>
          <xdr:row>15</xdr:row>
          <xdr:rowOff>11430</xdr:rowOff>
        </xdr:to>
        <xdr:sp macro="" textlink="">
          <xdr:nvSpPr>
            <xdr:cNvPr id="40032" name="Option Button 2144" descr="CUBE Tower" hidden="1">
              <a:extLst>
                <a:ext uri="{63B3BB69-23CF-44E3-9099-C40C66FF867C}">
                  <a14:compatExt spid="_x0000_s40032"/>
                </a:ext>
                <a:ext uri="{FF2B5EF4-FFF2-40B4-BE49-F238E27FC236}">
                  <a16:creationId xmlns:a16="http://schemas.microsoft.com/office/drawing/2014/main" id="{00000000-0008-0000-0300-00006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Standard Adaptive Wood Structure (SAWS)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171450</xdr:rowOff>
        </xdr:from>
        <xdr:to>
          <xdr:col>4</xdr:col>
          <xdr:colOff>1383030</xdr:colOff>
          <xdr:row>16</xdr:row>
          <xdr:rowOff>30480</xdr:rowOff>
        </xdr:to>
        <xdr:sp macro="" textlink="">
          <xdr:nvSpPr>
            <xdr:cNvPr id="40131" name="Group Box 2243" hidden="1">
              <a:extLst>
                <a:ext uri="{63B3BB69-23CF-44E3-9099-C40C66FF867C}">
                  <a14:compatExt spid="_x0000_s40131"/>
                </a:ext>
                <a:ext uri="{FF2B5EF4-FFF2-40B4-BE49-F238E27FC236}">
                  <a16:creationId xmlns:a16="http://schemas.microsoft.com/office/drawing/2014/main" id="{00000000-0008-0000-0300-0000C3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14</xdr:row>
          <xdr:rowOff>190500</xdr:rowOff>
        </xdr:from>
        <xdr:to>
          <xdr:col>4</xdr:col>
          <xdr:colOff>182880</xdr:colOff>
          <xdr:row>15</xdr:row>
          <xdr:rowOff>209550</xdr:rowOff>
        </xdr:to>
        <xdr:sp macro="" textlink="">
          <xdr:nvSpPr>
            <xdr:cNvPr id="40141" name="Option Button 2253" hidden="1">
              <a:extLst>
                <a:ext uri="{63B3BB69-23CF-44E3-9099-C40C66FF867C}">
                  <a14:compatExt spid="_x0000_s40141"/>
                </a:ext>
                <a:ext uri="{FF2B5EF4-FFF2-40B4-BE49-F238E27FC236}">
                  <a16:creationId xmlns:a16="http://schemas.microsoft.com/office/drawing/2014/main" id="{00000000-0008-0000-0300-0000C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CUBE Tower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xdr:colOff>
          <xdr:row>10</xdr:row>
          <xdr:rowOff>171450</xdr:rowOff>
        </xdr:from>
        <xdr:to>
          <xdr:col>4</xdr:col>
          <xdr:colOff>933450</xdr:colOff>
          <xdr:row>12</xdr:row>
          <xdr:rowOff>30480</xdr:rowOff>
        </xdr:to>
        <xdr:sp macro="" textlink="">
          <xdr:nvSpPr>
            <xdr:cNvPr id="40889" name="Option Button 3001" descr="Common Uniform Building Envelope (CUBE)" hidden="1">
              <a:extLst>
                <a:ext uri="{63B3BB69-23CF-44E3-9099-C40C66FF867C}">
                  <a14:compatExt spid="_x0000_s40889"/>
                </a:ext>
                <a:ext uri="{FF2B5EF4-FFF2-40B4-BE49-F238E27FC236}">
                  <a16:creationId xmlns:a16="http://schemas.microsoft.com/office/drawing/2014/main" id="{00000000-0008-0000-0300-0000B9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en-US" sz="800" b="0" i="0" u="none" strike="noStrike" baseline="0">
                  <a:solidFill>
                    <a:srgbClr val="000000"/>
                  </a:solidFill>
                  <a:latin typeface="Segoe UI"/>
                  <a:cs typeface="Segoe UI"/>
                </a:rPr>
                <a:t> CUBE Wide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8</xdr:row>
      <xdr:rowOff>1984375</xdr:rowOff>
    </xdr:from>
    <xdr:to>
      <xdr:col>0</xdr:col>
      <xdr:colOff>0</xdr:colOff>
      <xdr:row>9</xdr:row>
      <xdr:rowOff>417470</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stretch>
          <a:fillRect/>
        </a:stretch>
      </xdr:blipFill>
      <xdr:spPr>
        <a:xfrm flipH="1">
          <a:off x="0" y="35216042"/>
          <a:ext cx="0" cy="2587054"/>
        </a:xfrm>
        <a:prstGeom prst="rect">
          <a:avLst/>
        </a:prstGeom>
      </xdr:spPr>
    </xdr:pic>
    <xdr:clientData/>
  </xdr:twoCellAnchor>
  <xdr:twoCellAnchor editAs="oneCell">
    <xdr:from>
      <xdr:col>0</xdr:col>
      <xdr:colOff>47625</xdr:colOff>
      <xdr:row>8</xdr:row>
      <xdr:rowOff>67482</xdr:rowOff>
    </xdr:from>
    <xdr:to>
      <xdr:col>0</xdr:col>
      <xdr:colOff>2718496</xdr:colOff>
      <xdr:row>8</xdr:row>
      <xdr:rowOff>1271309</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7625" y="33214482"/>
          <a:ext cx="2670871" cy="1203827"/>
        </a:xfrm>
        <a:prstGeom prst="rect">
          <a:avLst/>
        </a:prstGeom>
      </xdr:spPr>
    </xdr:pic>
    <xdr:clientData/>
  </xdr:twoCellAnchor>
  <xdr:twoCellAnchor editAs="oneCell">
    <xdr:from>
      <xdr:col>0</xdr:col>
      <xdr:colOff>0</xdr:colOff>
      <xdr:row>0</xdr:row>
      <xdr:rowOff>52917</xdr:rowOff>
    </xdr:from>
    <xdr:to>
      <xdr:col>0</xdr:col>
      <xdr:colOff>2790423</xdr:colOff>
      <xdr:row>0</xdr:row>
      <xdr:rowOff>1322917</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a:stretch>
          <a:fillRect/>
        </a:stretch>
      </xdr:blipFill>
      <xdr:spPr>
        <a:xfrm>
          <a:off x="0" y="52917"/>
          <a:ext cx="2790423" cy="1270000"/>
        </a:xfrm>
        <a:prstGeom prst="rect">
          <a:avLst/>
        </a:prstGeom>
      </xdr:spPr>
    </xdr:pic>
    <xdr:clientData/>
  </xdr:twoCellAnchor>
  <xdr:twoCellAnchor editAs="oneCell">
    <xdr:from>
      <xdr:col>0</xdr:col>
      <xdr:colOff>1</xdr:colOff>
      <xdr:row>1</xdr:row>
      <xdr:rowOff>0</xdr:rowOff>
    </xdr:from>
    <xdr:to>
      <xdr:col>0</xdr:col>
      <xdr:colOff>2889251</xdr:colOff>
      <xdr:row>1</xdr:row>
      <xdr:rowOff>1359647</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4"/>
        <a:stretch>
          <a:fillRect/>
        </a:stretch>
      </xdr:blipFill>
      <xdr:spPr>
        <a:xfrm>
          <a:off x="1" y="4148667"/>
          <a:ext cx="2889250" cy="1359647"/>
        </a:xfrm>
        <a:prstGeom prst="rect">
          <a:avLst/>
        </a:prstGeom>
      </xdr:spPr>
    </xdr:pic>
    <xdr:clientData/>
  </xdr:twoCellAnchor>
  <xdr:twoCellAnchor editAs="oneCell">
    <xdr:from>
      <xdr:col>0</xdr:col>
      <xdr:colOff>0</xdr:colOff>
      <xdr:row>2</xdr:row>
      <xdr:rowOff>10586</xdr:rowOff>
    </xdr:from>
    <xdr:to>
      <xdr:col>0</xdr:col>
      <xdr:colOff>2995083</xdr:colOff>
      <xdr:row>2</xdr:row>
      <xdr:rowOff>1351668</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5"/>
        <a:stretch>
          <a:fillRect/>
        </a:stretch>
      </xdr:blipFill>
      <xdr:spPr>
        <a:xfrm>
          <a:off x="0" y="8307919"/>
          <a:ext cx="2995083" cy="1341082"/>
        </a:xfrm>
        <a:prstGeom prst="rect">
          <a:avLst/>
        </a:prstGeom>
      </xdr:spPr>
    </xdr:pic>
    <xdr:clientData/>
  </xdr:twoCellAnchor>
  <xdr:twoCellAnchor editAs="oneCell">
    <xdr:from>
      <xdr:col>0</xdr:col>
      <xdr:colOff>10583</xdr:colOff>
      <xdr:row>3</xdr:row>
      <xdr:rowOff>4116916</xdr:rowOff>
    </xdr:from>
    <xdr:to>
      <xdr:col>0</xdr:col>
      <xdr:colOff>2656416</xdr:colOff>
      <xdr:row>4</xdr:row>
      <xdr:rowOff>1206724</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6"/>
        <a:stretch>
          <a:fillRect/>
        </a:stretch>
      </xdr:blipFill>
      <xdr:spPr>
        <a:xfrm>
          <a:off x="10583" y="16562916"/>
          <a:ext cx="2645833" cy="1238475"/>
        </a:xfrm>
        <a:prstGeom prst="rect">
          <a:avLst/>
        </a:prstGeom>
      </xdr:spPr>
    </xdr:pic>
    <xdr:clientData/>
  </xdr:twoCellAnchor>
  <xdr:twoCellAnchor editAs="oneCell">
    <xdr:from>
      <xdr:col>0</xdr:col>
      <xdr:colOff>0</xdr:colOff>
      <xdr:row>3</xdr:row>
      <xdr:rowOff>0</xdr:rowOff>
    </xdr:from>
    <xdr:to>
      <xdr:col>0</xdr:col>
      <xdr:colOff>2706561</xdr:colOff>
      <xdr:row>3</xdr:row>
      <xdr:rowOff>1217083</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7"/>
        <a:stretch>
          <a:fillRect/>
        </a:stretch>
      </xdr:blipFill>
      <xdr:spPr>
        <a:xfrm>
          <a:off x="0" y="12446000"/>
          <a:ext cx="2706561" cy="1217083"/>
        </a:xfrm>
        <a:prstGeom prst="rect">
          <a:avLst/>
        </a:prstGeom>
      </xdr:spPr>
    </xdr:pic>
    <xdr:clientData/>
  </xdr:twoCellAnchor>
  <xdr:twoCellAnchor editAs="oneCell">
    <xdr:from>
      <xdr:col>0</xdr:col>
      <xdr:colOff>0</xdr:colOff>
      <xdr:row>5</xdr:row>
      <xdr:rowOff>0</xdr:rowOff>
    </xdr:from>
    <xdr:to>
      <xdr:col>0</xdr:col>
      <xdr:colOff>2487083</xdr:colOff>
      <xdr:row>5</xdr:row>
      <xdr:rowOff>1305050</xdr:rowOff>
    </xdr:to>
    <xdr:pic>
      <xdr:nvPicPr>
        <xdr:cNvPr id="23" name="Picture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8"/>
        <a:stretch>
          <a:fillRect/>
        </a:stretch>
      </xdr:blipFill>
      <xdr:spPr>
        <a:xfrm>
          <a:off x="0" y="20743333"/>
          <a:ext cx="2487083" cy="1305050"/>
        </a:xfrm>
        <a:prstGeom prst="rect">
          <a:avLst/>
        </a:prstGeom>
      </xdr:spPr>
    </xdr:pic>
    <xdr:clientData/>
  </xdr:twoCellAnchor>
  <xdr:twoCellAnchor editAs="oneCell">
    <xdr:from>
      <xdr:col>0</xdr:col>
      <xdr:colOff>0</xdr:colOff>
      <xdr:row>6</xdr:row>
      <xdr:rowOff>1</xdr:rowOff>
    </xdr:from>
    <xdr:to>
      <xdr:col>0</xdr:col>
      <xdr:colOff>2508250</xdr:colOff>
      <xdr:row>6</xdr:row>
      <xdr:rowOff>1122537</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9"/>
        <a:stretch>
          <a:fillRect/>
        </a:stretch>
      </xdr:blipFill>
      <xdr:spPr>
        <a:xfrm>
          <a:off x="0" y="24892001"/>
          <a:ext cx="2508250" cy="1122536"/>
        </a:xfrm>
        <a:prstGeom prst="rect">
          <a:avLst/>
        </a:prstGeom>
      </xdr:spPr>
    </xdr:pic>
    <xdr:clientData/>
  </xdr:twoCellAnchor>
  <xdr:twoCellAnchor editAs="oneCell">
    <xdr:from>
      <xdr:col>0</xdr:col>
      <xdr:colOff>63500</xdr:colOff>
      <xdr:row>6</xdr:row>
      <xdr:rowOff>4074584</xdr:rowOff>
    </xdr:from>
    <xdr:to>
      <xdr:col>0</xdr:col>
      <xdr:colOff>2391833</xdr:colOff>
      <xdr:row>7</xdr:row>
      <xdr:rowOff>1316666</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0"/>
        <a:stretch>
          <a:fillRect/>
        </a:stretch>
      </xdr:blipFill>
      <xdr:spPr>
        <a:xfrm>
          <a:off x="63500" y="28966584"/>
          <a:ext cx="2328333" cy="1390749"/>
        </a:xfrm>
        <a:prstGeom prst="rect">
          <a:avLst/>
        </a:prstGeom>
      </xdr:spPr>
    </xdr:pic>
    <xdr:clientData/>
  </xdr:twoCellAnchor>
  <xdr:twoCellAnchor editAs="oneCell">
    <xdr:from>
      <xdr:col>0</xdr:col>
      <xdr:colOff>916783</xdr:colOff>
      <xdr:row>3</xdr:row>
      <xdr:rowOff>59531</xdr:rowOff>
    </xdr:from>
    <xdr:to>
      <xdr:col>0</xdr:col>
      <xdr:colOff>2595562</xdr:colOff>
      <xdr:row>3</xdr:row>
      <xdr:rowOff>940594</xdr:rowOff>
    </xdr:to>
    <xdr:pic>
      <xdr:nvPicPr>
        <xdr:cNvPr id="28" name="Picture 27" descr="A picture containing shore&#10;&#10;Description automatically generated">
          <a:extLst>
            <a:ext uri="{FF2B5EF4-FFF2-40B4-BE49-F238E27FC236}">
              <a16:creationId xmlns:a16="http://schemas.microsoft.com/office/drawing/2014/main" id="{00000000-0008-0000-0500-00001C000000}"/>
            </a:ext>
          </a:extLst>
        </xdr:cNvPr>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val="0"/>
            </a:ext>
          </a:extLst>
        </a:blip>
        <a:srcRect l="9112" t="26849" r="11833" b="8071"/>
        <a:stretch/>
      </xdr:blipFill>
      <xdr:spPr>
        <a:xfrm>
          <a:off x="916783" y="12525375"/>
          <a:ext cx="1678779" cy="881063"/>
        </a:xfrm>
        <a:prstGeom prst="rect">
          <a:avLst/>
        </a:prstGeom>
      </xdr:spPr>
    </xdr:pic>
    <xdr:clientData/>
  </xdr:twoCellAnchor>
  <xdr:twoCellAnchor editAs="oneCell">
    <xdr:from>
      <xdr:col>0</xdr:col>
      <xdr:colOff>923414</xdr:colOff>
      <xdr:row>2</xdr:row>
      <xdr:rowOff>79376</xdr:rowOff>
    </xdr:from>
    <xdr:to>
      <xdr:col>0</xdr:col>
      <xdr:colOff>2835230</xdr:colOff>
      <xdr:row>2</xdr:row>
      <xdr:rowOff>1250156</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12"/>
        <a:srcRect l="9965" t="28965" r="8243" b="21019"/>
        <a:stretch/>
      </xdr:blipFill>
      <xdr:spPr>
        <a:xfrm>
          <a:off x="923414" y="8382001"/>
          <a:ext cx="1911816" cy="1170780"/>
        </a:xfrm>
        <a:prstGeom prst="rect">
          <a:avLst/>
        </a:prstGeom>
      </xdr:spPr>
    </xdr:pic>
    <xdr:clientData/>
  </xdr:twoCellAnchor>
  <xdr:twoCellAnchor editAs="oneCell">
    <xdr:from>
      <xdr:col>0</xdr:col>
      <xdr:colOff>777876</xdr:colOff>
      <xdr:row>4</xdr:row>
      <xdr:rowOff>63501</xdr:rowOff>
    </xdr:from>
    <xdr:to>
      <xdr:col>0</xdr:col>
      <xdr:colOff>2571750</xdr:colOff>
      <xdr:row>4</xdr:row>
      <xdr:rowOff>912813</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13"/>
        <a:srcRect l="4766" t="33242" r="10631" b="18397"/>
        <a:stretch/>
      </xdr:blipFill>
      <xdr:spPr>
        <a:xfrm>
          <a:off x="777876" y="16668751"/>
          <a:ext cx="1793874" cy="849312"/>
        </a:xfrm>
        <a:prstGeom prst="rect">
          <a:avLst/>
        </a:prstGeom>
      </xdr:spPr>
    </xdr:pic>
    <xdr:clientData/>
  </xdr:twoCellAnchor>
  <xdr:twoCellAnchor editAs="oneCell">
    <xdr:from>
      <xdr:col>0</xdr:col>
      <xdr:colOff>809625</xdr:colOff>
      <xdr:row>6</xdr:row>
      <xdr:rowOff>60590</xdr:rowOff>
    </xdr:from>
    <xdr:to>
      <xdr:col>0</xdr:col>
      <xdr:colOff>2436812</xdr:colOff>
      <xdr:row>6</xdr:row>
      <xdr:rowOff>1038840</xdr:rowOff>
    </xdr:to>
    <xdr:pic>
      <xdr:nvPicPr>
        <xdr:cNvPr id="13" name="Picture 12" descr="A picture containing sky, outdoor">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14"/>
        <a:srcRect t="22465" r="7255" b="13847"/>
        <a:stretch/>
      </xdr:blipFill>
      <xdr:spPr>
        <a:xfrm>
          <a:off x="809625" y="24968465"/>
          <a:ext cx="1627187" cy="978250"/>
        </a:xfrm>
        <a:prstGeom prst="rect">
          <a:avLst/>
        </a:prstGeom>
      </xdr:spPr>
    </xdr:pic>
    <xdr:clientData/>
  </xdr:twoCellAnchor>
  <xdr:twoCellAnchor editAs="oneCell">
    <xdr:from>
      <xdr:col>0</xdr:col>
      <xdr:colOff>1111250</xdr:colOff>
      <xdr:row>7</xdr:row>
      <xdr:rowOff>7936</xdr:rowOff>
    </xdr:from>
    <xdr:to>
      <xdr:col>0</xdr:col>
      <xdr:colOff>1978328</xdr:colOff>
      <xdr:row>7</xdr:row>
      <xdr:rowOff>1182687</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rotWithShape="1">
        <a:blip xmlns:r="http://schemas.openxmlformats.org/officeDocument/2006/relationships" r:embed="rId15" cstate="email">
          <a:extLst>
            <a:ext uri="{28A0092B-C50C-407E-A947-70E740481C1C}">
              <a14:useLocalDpi xmlns:a14="http://schemas.microsoft.com/office/drawing/2010/main" val="0"/>
            </a:ext>
          </a:extLst>
        </a:blip>
        <a:srcRect l="26627" t="-6349" r="12977" b="6349"/>
        <a:stretch/>
      </xdr:blipFill>
      <xdr:spPr>
        <a:xfrm>
          <a:off x="1111250" y="29067124"/>
          <a:ext cx="867078" cy="1174751"/>
        </a:xfrm>
        <a:prstGeom prst="rect">
          <a:avLst/>
        </a:prstGeom>
      </xdr:spPr>
    </xdr:pic>
    <xdr:clientData/>
  </xdr:twoCellAnchor>
  <xdr:twoCellAnchor editAs="oneCell">
    <xdr:from>
      <xdr:col>0</xdr:col>
      <xdr:colOff>857249</xdr:colOff>
      <xdr:row>8</xdr:row>
      <xdr:rowOff>142874</xdr:rowOff>
    </xdr:from>
    <xdr:to>
      <xdr:col>0</xdr:col>
      <xdr:colOff>2642080</xdr:colOff>
      <xdr:row>8</xdr:row>
      <xdr:rowOff>1246188</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val="0"/>
            </a:ext>
          </a:extLst>
        </a:blip>
        <a:srcRect/>
        <a:stretch/>
      </xdr:blipFill>
      <xdr:spPr>
        <a:xfrm>
          <a:off x="857249" y="33353374"/>
          <a:ext cx="1784831" cy="1103314"/>
        </a:xfrm>
        <a:prstGeom prst="rect">
          <a:avLst/>
        </a:prstGeom>
      </xdr:spPr>
    </xdr:pic>
    <xdr:clientData/>
  </xdr:twoCellAnchor>
  <xdr:twoCellAnchor editAs="oneCell">
    <xdr:from>
      <xdr:col>0</xdr:col>
      <xdr:colOff>1059656</xdr:colOff>
      <xdr:row>0</xdr:row>
      <xdr:rowOff>166687</xdr:rowOff>
    </xdr:from>
    <xdr:to>
      <xdr:col>0</xdr:col>
      <xdr:colOff>2725470</xdr:colOff>
      <xdr:row>0</xdr:row>
      <xdr:rowOff>1214438</xdr:rowOff>
    </xdr:to>
    <xdr:pic>
      <xdr:nvPicPr>
        <xdr:cNvPr id="25" name="Picture 24" descr="A picture containing sky, outdoor&#10;&#10;Description automatically generated">
          <a:extLst>
            <a:ext uri="{FF2B5EF4-FFF2-40B4-BE49-F238E27FC236}">
              <a16:creationId xmlns:a16="http://schemas.microsoft.com/office/drawing/2014/main" id="{00000000-0008-0000-0500-000019000000}"/>
            </a:ext>
          </a:extLst>
        </xdr:cNvPr>
        <xdr:cNvPicPr>
          <a:picLocks noChangeAspect="1"/>
        </xdr:cNvPicPr>
      </xdr:nvPicPr>
      <xdr:blipFill rotWithShape="1">
        <a:blip xmlns:r="http://schemas.openxmlformats.org/officeDocument/2006/relationships" r:embed="rId17"/>
        <a:srcRect t="13352" r="5251" b="11238"/>
        <a:stretch/>
      </xdr:blipFill>
      <xdr:spPr>
        <a:xfrm>
          <a:off x="1059656" y="166687"/>
          <a:ext cx="1665814" cy="1047751"/>
        </a:xfrm>
        <a:prstGeom prst="rect">
          <a:avLst/>
        </a:prstGeom>
      </xdr:spPr>
    </xdr:pic>
    <xdr:clientData/>
  </xdr:twoCellAnchor>
  <xdr:twoCellAnchor editAs="oneCell">
    <xdr:from>
      <xdr:col>0</xdr:col>
      <xdr:colOff>976312</xdr:colOff>
      <xdr:row>1</xdr:row>
      <xdr:rowOff>55563</xdr:rowOff>
    </xdr:from>
    <xdr:to>
      <xdr:col>0</xdr:col>
      <xdr:colOff>2784738</xdr:colOff>
      <xdr:row>1</xdr:row>
      <xdr:rowOff>1262062</xdr:rowOff>
    </xdr:to>
    <xdr:pic>
      <xdr:nvPicPr>
        <xdr:cNvPr id="26" name="Picture 25">
          <a:extLst>
            <a:ext uri="{FF2B5EF4-FFF2-40B4-BE49-F238E27FC236}">
              <a16:creationId xmlns:a16="http://schemas.microsoft.com/office/drawing/2014/main" id="{00000000-0008-0000-0500-00001A000000}"/>
            </a:ext>
          </a:extLst>
        </xdr:cNvPr>
        <xdr:cNvPicPr>
          <a:picLocks noChangeAspect="1"/>
        </xdr:cNvPicPr>
      </xdr:nvPicPr>
      <xdr:blipFill rotWithShape="1">
        <a:blip xmlns:r="http://schemas.openxmlformats.org/officeDocument/2006/relationships" r:embed="rId18"/>
        <a:srcRect t="1" b="21484"/>
        <a:stretch/>
      </xdr:blipFill>
      <xdr:spPr>
        <a:xfrm>
          <a:off x="976312" y="4210844"/>
          <a:ext cx="1808426" cy="1206499"/>
        </a:xfrm>
        <a:prstGeom prst="rect">
          <a:avLst/>
        </a:prstGeom>
      </xdr:spPr>
    </xdr:pic>
    <xdr:clientData/>
  </xdr:twoCellAnchor>
  <xdr:twoCellAnchor editAs="oneCell">
    <xdr:from>
      <xdr:col>0</xdr:col>
      <xdr:colOff>722315</xdr:colOff>
      <xdr:row>5</xdr:row>
      <xdr:rowOff>63500</xdr:rowOff>
    </xdr:from>
    <xdr:to>
      <xdr:col>0</xdr:col>
      <xdr:colOff>2333625</xdr:colOff>
      <xdr:row>5</xdr:row>
      <xdr:rowOff>1135062</xdr:rowOff>
    </xdr:to>
    <xdr:pic>
      <xdr:nvPicPr>
        <xdr:cNvPr id="2" name="Picture 1" descr="A picture containing sky&#10;&#10;Description automatically generated">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9"/>
        <a:srcRect l="7088" t="23840" r="4835" b="13077"/>
        <a:stretch/>
      </xdr:blipFill>
      <xdr:spPr>
        <a:xfrm>
          <a:off x="722315" y="20820063"/>
          <a:ext cx="1611310" cy="10715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357188</xdr:colOff>
      <xdr:row>2</xdr:row>
      <xdr:rowOff>95250</xdr:rowOff>
    </xdr:from>
    <xdr:to>
      <xdr:col>0</xdr:col>
      <xdr:colOff>5286375</xdr:colOff>
      <xdr:row>2</xdr:row>
      <xdr:rowOff>2166938</xdr:rowOff>
    </xdr:to>
    <xdr:pic>
      <xdr:nvPicPr>
        <xdr:cNvPr id="12" name="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a:stretch>
          <a:fillRect/>
        </a:stretch>
      </xdr:blipFill>
      <xdr:spPr>
        <a:xfrm>
          <a:off x="357188" y="8382000"/>
          <a:ext cx="4929187" cy="2071688"/>
        </a:xfrm>
        <a:prstGeom prst="rect">
          <a:avLst/>
        </a:prstGeom>
        <a:ln>
          <a:solidFill>
            <a:sysClr val="windowText" lastClr="000000"/>
          </a:solidFill>
        </a:ln>
      </xdr:spPr>
    </xdr:pic>
    <xdr:clientData/>
  </xdr:twoCellAnchor>
  <xdr:twoCellAnchor editAs="oneCell">
    <xdr:from>
      <xdr:col>0</xdr:col>
      <xdr:colOff>357189</xdr:colOff>
      <xdr:row>1</xdr:row>
      <xdr:rowOff>190498</xdr:rowOff>
    </xdr:from>
    <xdr:to>
      <xdr:col>0</xdr:col>
      <xdr:colOff>5334001</xdr:colOff>
      <xdr:row>1</xdr:row>
      <xdr:rowOff>2547937</xdr:rowOff>
    </xdr:to>
    <xdr:pic>
      <xdr:nvPicPr>
        <xdr:cNvPr id="13" name="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tretch>
          <a:fillRect/>
        </a:stretch>
      </xdr:blipFill>
      <xdr:spPr>
        <a:xfrm>
          <a:off x="357189" y="4333873"/>
          <a:ext cx="4976812" cy="2357439"/>
        </a:xfrm>
        <a:prstGeom prst="rect">
          <a:avLst/>
        </a:prstGeom>
        <a:ln>
          <a:solidFill>
            <a:sysClr val="windowText" lastClr="000000"/>
          </a:solidFill>
        </a:ln>
      </xdr:spPr>
    </xdr:pic>
    <xdr:clientData/>
  </xdr:twoCellAnchor>
  <xdr:twoCellAnchor editAs="oneCell">
    <xdr:from>
      <xdr:col>0</xdr:col>
      <xdr:colOff>190500</xdr:colOff>
      <xdr:row>3</xdr:row>
      <xdr:rowOff>119062</xdr:rowOff>
    </xdr:from>
    <xdr:to>
      <xdr:col>0</xdr:col>
      <xdr:colOff>5238750</xdr:colOff>
      <xdr:row>3</xdr:row>
      <xdr:rowOff>2470302</xdr:rowOff>
    </xdr:to>
    <xdr:pic>
      <xdr:nvPicPr>
        <xdr:cNvPr id="14" name="Picture 13">
          <a:extLst>
            <a:ext uri="{FF2B5EF4-FFF2-40B4-BE49-F238E27FC236}">
              <a16:creationId xmlns:a16="http://schemas.microsoft.com/office/drawing/2014/main" id="{00000000-0008-0000-0800-00000E000000}"/>
            </a:ext>
          </a:extLst>
        </xdr:cNvPr>
        <xdr:cNvPicPr>
          <a:picLocks noChangeAspect="1"/>
        </xdr:cNvPicPr>
      </xdr:nvPicPr>
      <xdr:blipFill rotWithShape="1">
        <a:blip xmlns:r="http://schemas.openxmlformats.org/officeDocument/2006/relationships" r:embed="rId3"/>
        <a:srcRect l="27044" t="24114" r="13064" b="23740"/>
        <a:stretch/>
      </xdr:blipFill>
      <xdr:spPr>
        <a:xfrm>
          <a:off x="190500" y="12549187"/>
          <a:ext cx="5048250" cy="2351240"/>
        </a:xfrm>
        <a:prstGeom prst="rect">
          <a:avLst/>
        </a:prstGeom>
        <a:ln>
          <a:solidFill>
            <a:sysClr val="windowText" lastClr="000000"/>
          </a:solidFill>
        </a:ln>
      </xdr:spPr>
    </xdr:pic>
    <xdr:clientData/>
  </xdr:twoCellAnchor>
  <xdr:twoCellAnchor editAs="oneCell">
    <xdr:from>
      <xdr:col>0</xdr:col>
      <xdr:colOff>214312</xdr:colOff>
      <xdr:row>4</xdr:row>
      <xdr:rowOff>108072</xdr:rowOff>
    </xdr:from>
    <xdr:to>
      <xdr:col>0</xdr:col>
      <xdr:colOff>5231423</xdr:colOff>
      <xdr:row>4</xdr:row>
      <xdr:rowOff>2401608</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rotWithShape="1">
        <a:blip xmlns:r="http://schemas.openxmlformats.org/officeDocument/2006/relationships" r:embed="rId4"/>
        <a:srcRect l="27486" t="28776" r="25334" b="18185"/>
        <a:stretch/>
      </xdr:blipFill>
      <xdr:spPr>
        <a:xfrm>
          <a:off x="214312" y="16681572"/>
          <a:ext cx="5017111" cy="2293536"/>
        </a:xfrm>
        <a:prstGeom prst="rect">
          <a:avLst/>
        </a:prstGeom>
        <a:ln>
          <a:solidFill>
            <a:sysClr val="windowText" lastClr="000000"/>
          </a:solidFill>
        </a:ln>
      </xdr:spPr>
    </xdr:pic>
    <xdr:clientData/>
  </xdr:twoCellAnchor>
  <xdr:twoCellAnchor editAs="oneCell">
    <xdr:from>
      <xdr:col>0</xdr:col>
      <xdr:colOff>380996</xdr:colOff>
      <xdr:row>6</xdr:row>
      <xdr:rowOff>166687</xdr:rowOff>
    </xdr:from>
    <xdr:to>
      <xdr:col>0</xdr:col>
      <xdr:colOff>5366245</xdr:colOff>
      <xdr:row>6</xdr:row>
      <xdr:rowOff>1547812</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5"/>
        <a:stretch>
          <a:fillRect/>
        </a:stretch>
      </xdr:blipFill>
      <xdr:spPr>
        <a:xfrm>
          <a:off x="380996" y="25026937"/>
          <a:ext cx="4985249" cy="1381125"/>
        </a:xfrm>
        <a:prstGeom prst="rect">
          <a:avLst/>
        </a:prstGeom>
        <a:ln>
          <a:solidFill>
            <a:sysClr val="windowText" lastClr="000000"/>
          </a:solidFill>
        </a:ln>
      </xdr:spPr>
    </xdr:pic>
    <xdr:clientData/>
  </xdr:twoCellAnchor>
  <xdr:twoCellAnchor editAs="oneCell">
    <xdr:from>
      <xdr:col>0</xdr:col>
      <xdr:colOff>0</xdr:colOff>
      <xdr:row>5</xdr:row>
      <xdr:rowOff>33338</xdr:rowOff>
    </xdr:from>
    <xdr:to>
      <xdr:col>0</xdr:col>
      <xdr:colOff>5012321</xdr:colOff>
      <xdr:row>5</xdr:row>
      <xdr:rowOff>3105573</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0228" r="9659"/>
        <a:stretch/>
      </xdr:blipFill>
      <xdr:spPr>
        <a:xfrm>
          <a:off x="0" y="20750213"/>
          <a:ext cx="5012321" cy="3072235"/>
        </a:xfrm>
        <a:prstGeom prst="rect">
          <a:avLst/>
        </a:prstGeom>
      </xdr:spPr>
    </xdr:pic>
    <xdr:clientData/>
  </xdr:twoCellAnchor>
  <xdr:twoCellAnchor editAs="oneCell">
    <xdr:from>
      <xdr:col>0</xdr:col>
      <xdr:colOff>0</xdr:colOff>
      <xdr:row>7</xdr:row>
      <xdr:rowOff>77043</xdr:rowOff>
    </xdr:from>
    <xdr:to>
      <xdr:col>0</xdr:col>
      <xdr:colOff>5276850</xdr:colOff>
      <xdr:row>7</xdr:row>
      <xdr:rowOff>3008718</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0554"/>
        <a:stretch/>
      </xdr:blipFill>
      <xdr:spPr>
        <a:xfrm>
          <a:off x="0" y="29080668"/>
          <a:ext cx="5276850" cy="2931675"/>
        </a:xfrm>
        <a:prstGeom prst="rect">
          <a:avLst/>
        </a:prstGeom>
      </xdr:spPr>
    </xdr:pic>
    <xdr:clientData/>
  </xdr:twoCellAnchor>
  <xdr:twoCellAnchor editAs="oneCell">
    <xdr:from>
      <xdr:col>0</xdr:col>
      <xdr:colOff>38100</xdr:colOff>
      <xdr:row>8</xdr:row>
      <xdr:rowOff>914400</xdr:rowOff>
    </xdr:from>
    <xdr:to>
      <xdr:col>1</xdr:col>
      <xdr:colOff>361950</xdr:colOff>
      <xdr:row>9</xdr:row>
      <xdr:rowOff>135014</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4924" t="691" b="-691"/>
        <a:stretch/>
      </xdr:blipFill>
      <xdr:spPr>
        <a:xfrm>
          <a:off x="38100" y="34137600"/>
          <a:ext cx="5848350" cy="33735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627516</xdr:colOff>
      <xdr:row>5</xdr:row>
      <xdr:rowOff>1190624</xdr:rowOff>
    </xdr:from>
    <xdr:to>
      <xdr:col>0</xdr:col>
      <xdr:colOff>2241437</xdr:colOff>
      <xdr:row>5</xdr:row>
      <xdr:rowOff>2410955</xdr:rowOff>
    </xdr:to>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tretch>
          <a:fillRect/>
        </a:stretch>
      </xdr:blipFill>
      <xdr:spPr>
        <a:xfrm rot="5400000">
          <a:off x="824311" y="7843546"/>
          <a:ext cx="1220331" cy="1613921"/>
        </a:xfrm>
        <a:prstGeom prst="rect">
          <a:avLst/>
        </a:prstGeom>
        <a:ln w="3175">
          <a:solidFill>
            <a:schemeClr val="tx1"/>
          </a:solidFill>
        </a:ln>
      </xdr:spPr>
    </xdr:pic>
    <xdr:clientData/>
  </xdr:twoCellAnchor>
  <xdr:twoCellAnchor editAs="oneCell">
    <xdr:from>
      <xdr:col>0</xdr:col>
      <xdr:colOff>655913</xdr:colOff>
      <xdr:row>6</xdr:row>
      <xdr:rowOff>1206500</xdr:rowOff>
    </xdr:from>
    <xdr:to>
      <xdr:col>0</xdr:col>
      <xdr:colOff>2189961</xdr:colOff>
      <xdr:row>6</xdr:row>
      <xdr:rowOff>2401276</xdr:rowOff>
    </xdr:to>
    <xdr:pic>
      <xdr:nvPicPr>
        <xdr:cNvPr id="14" name="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2"/>
        <a:stretch>
          <a:fillRect/>
        </a:stretch>
      </xdr:blipFill>
      <xdr:spPr>
        <a:xfrm>
          <a:off x="655913" y="4476750"/>
          <a:ext cx="1534048" cy="1194776"/>
        </a:xfrm>
        <a:prstGeom prst="rect">
          <a:avLst/>
        </a:prstGeom>
        <a:ln>
          <a:solidFill>
            <a:sysClr val="windowText" lastClr="000000"/>
          </a:solidFill>
        </a:ln>
      </xdr:spPr>
    </xdr:pic>
    <xdr:clientData/>
  </xdr:twoCellAnchor>
  <xdr:twoCellAnchor editAs="oneCell">
    <xdr:from>
      <xdr:col>0</xdr:col>
      <xdr:colOff>716446</xdr:colOff>
      <xdr:row>7</xdr:row>
      <xdr:rowOff>1124225</xdr:rowOff>
    </xdr:from>
    <xdr:to>
      <xdr:col>0</xdr:col>
      <xdr:colOff>2328858</xdr:colOff>
      <xdr:row>7</xdr:row>
      <xdr:rowOff>2361162</xdr:rowOff>
    </xdr:to>
    <xdr:pic>
      <xdr:nvPicPr>
        <xdr:cNvPr id="16" name="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3"/>
        <a:stretch>
          <a:fillRect/>
        </a:stretch>
      </xdr:blipFill>
      <xdr:spPr>
        <a:xfrm>
          <a:off x="716446" y="12910377"/>
          <a:ext cx="1612412" cy="1236937"/>
        </a:xfrm>
        <a:prstGeom prst="rect">
          <a:avLst/>
        </a:prstGeom>
        <a:ln>
          <a:solidFill>
            <a:sysClr val="windowText" lastClr="000000"/>
          </a:solidFill>
        </a:ln>
      </xdr:spPr>
    </xdr:pic>
    <xdr:clientData/>
  </xdr:twoCellAnchor>
  <xdr:twoCellAnchor editAs="oneCell">
    <xdr:from>
      <xdr:col>0</xdr:col>
      <xdr:colOff>373306</xdr:colOff>
      <xdr:row>13</xdr:row>
      <xdr:rowOff>1022212</xdr:rowOff>
    </xdr:from>
    <xdr:to>
      <xdr:col>0</xdr:col>
      <xdr:colOff>2429596</xdr:colOff>
      <xdr:row>13</xdr:row>
      <xdr:rowOff>2378088</xdr:rowOff>
    </xdr:to>
    <xdr:pic>
      <xdr:nvPicPr>
        <xdr:cNvPr id="25" name="Picture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4"/>
        <a:stretch>
          <a:fillRect/>
        </a:stretch>
      </xdr:blipFill>
      <xdr:spPr>
        <a:xfrm>
          <a:off x="373306" y="27617669"/>
          <a:ext cx="2056290" cy="1355876"/>
        </a:xfrm>
        <a:prstGeom prst="rect">
          <a:avLst/>
        </a:prstGeom>
        <a:ln>
          <a:solidFill>
            <a:sysClr val="windowText" lastClr="000000"/>
          </a:solidFill>
        </a:ln>
      </xdr:spPr>
    </xdr:pic>
    <xdr:clientData/>
  </xdr:twoCellAnchor>
  <xdr:twoCellAnchor editAs="oneCell">
    <xdr:from>
      <xdr:col>0</xdr:col>
      <xdr:colOff>1025729</xdr:colOff>
      <xdr:row>14</xdr:row>
      <xdr:rowOff>1206500</xdr:rowOff>
    </xdr:from>
    <xdr:to>
      <xdr:col>0</xdr:col>
      <xdr:colOff>2038350</xdr:colOff>
      <xdr:row>14</xdr:row>
      <xdr:rowOff>2401902</xdr:rowOff>
    </xdr:to>
    <xdr:pic>
      <xdr:nvPicPr>
        <xdr:cNvPr id="26" name="Picture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5"/>
        <a:stretch>
          <a:fillRect/>
        </a:stretch>
      </xdr:blipFill>
      <xdr:spPr>
        <a:xfrm>
          <a:off x="1025729" y="24161750"/>
          <a:ext cx="1012621" cy="1195402"/>
        </a:xfrm>
        <a:prstGeom prst="rect">
          <a:avLst/>
        </a:prstGeom>
        <a:ln>
          <a:solidFill>
            <a:sysClr val="windowText" lastClr="000000"/>
          </a:solidFill>
        </a:ln>
      </xdr:spPr>
    </xdr:pic>
    <xdr:clientData/>
  </xdr:twoCellAnchor>
  <xdr:twoCellAnchor editAs="oneCell">
    <xdr:from>
      <xdr:col>0</xdr:col>
      <xdr:colOff>1075656</xdr:colOff>
      <xdr:row>15</xdr:row>
      <xdr:rowOff>1199598</xdr:rowOff>
    </xdr:from>
    <xdr:to>
      <xdr:col>0</xdr:col>
      <xdr:colOff>2098814</xdr:colOff>
      <xdr:row>15</xdr:row>
      <xdr:rowOff>2440877</xdr:rowOff>
    </xdr:to>
    <xdr:pic>
      <xdr:nvPicPr>
        <xdr:cNvPr id="28" name="Picture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6"/>
        <a:stretch>
          <a:fillRect/>
        </a:stretch>
      </xdr:blipFill>
      <xdr:spPr>
        <a:xfrm>
          <a:off x="1075656" y="32731489"/>
          <a:ext cx="1023158" cy="1241279"/>
        </a:xfrm>
        <a:prstGeom prst="rect">
          <a:avLst/>
        </a:prstGeom>
        <a:ln>
          <a:solidFill>
            <a:sysClr val="windowText" lastClr="000000"/>
          </a:solidFill>
        </a:ln>
      </xdr:spPr>
    </xdr:pic>
    <xdr:clientData/>
  </xdr:twoCellAnchor>
  <xdr:twoCellAnchor editAs="oneCell">
    <xdr:from>
      <xdr:col>0</xdr:col>
      <xdr:colOff>59651</xdr:colOff>
      <xdr:row>24</xdr:row>
      <xdr:rowOff>1180248</xdr:rowOff>
    </xdr:from>
    <xdr:to>
      <xdr:col>0</xdr:col>
      <xdr:colOff>3033568</xdr:colOff>
      <xdr:row>24</xdr:row>
      <xdr:rowOff>2415611</xdr:rowOff>
    </xdr:to>
    <xdr:pic>
      <xdr:nvPicPr>
        <xdr:cNvPr id="29" name="Picture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7"/>
        <a:stretch>
          <a:fillRect/>
        </a:stretch>
      </xdr:blipFill>
      <xdr:spPr>
        <a:xfrm>
          <a:off x="59651" y="43865855"/>
          <a:ext cx="2973917" cy="1235363"/>
        </a:xfrm>
        <a:prstGeom prst="rect">
          <a:avLst/>
        </a:prstGeom>
      </xdr:spPr>
    </xdr:pic>
    <xdr:clientData/>
  </xdr:twoCellAnchor>
  <xdr:twoCellAnchor editAs="oneCell">
    <xdr:from>
      <xdr:col>0</xdr:col>
      <xdr:colOff>38100</xdr:colOff>
      <xdr:row>24</xdr:row>
      <xdr:rowOff>1111404</xdr:rowOff>
    </xdr:from>
    <xdr:to>
      <xdr:col>0</xdr:col>
      <xdr:colOff>2977243</xdr:colOff>
      <xdr:row>24</xdr:row>
      <xdr:rowOff>2371036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8"/>
        <a:stretch>
          <a:fillRect/>
        </a:stretch>
      </xdr:blipFill>
      <xdr:spPr>
        <a:xfrm>
          <a:off x="38100" y="54764368"/>
          <a:ext cx="2939143" cy="1259632"/>
        </a:xfrm>
        <a:prstGeom prst="rect">
          <a:avLst/>
        </a:prstGeom>
        <a:ln>
          <a:solidFill>
            <a:sysClr val="windowText" lastClr="000000"/>
          </a:solidFill>
        </a:ln>
      </xdr:spPr>
    </xdr:pic>
    <xdr:clientData/>
  </xdr:twoCellAnchor>
  <xdr:twoCellAnchor editAs="oneCell">
    <xdr:from>
      <xdr:col>0</xdr:col>
      <xdr:colOff>683317</xdr:colOff>
      <xdr:row>11</xdr:row>
      <xdr:rowOff>1124135</xdr:rowOff>
    </xdr:from>
    <xdr:to>
      <xdr:col>0</xdr:col>
      <xdr:colOff>2515329</xdr:colOff>
      <xdr:row>11</xdr:row>
      <xdr:rowOff>2427423</xdr:rowOff>
    </xdr:to>
    <xdr:pic>
      <xdr:nvPicPr>
        <xdr:cNvPr id="35" name="Picture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9"/>
        <a:stretch>
          <a:fillRect/>
        </a:stretch>
      </xdr:blipFill>
      <xdr:spPr>
        <a:xfrm>
          <a:off x="683317" y="22783157"/>
          <a:ext cx="1832012" cy="1303288"/>
        </a:xfrm>
        <a:prstGeom prst="rect">
          <a:avLst/>
        </a:prstGeom>
        <a:ln>
          <a:solidFill>
            <a:sysClr val="windowText" lastClr="000000"/>
          </a:solidFill>
        </a:ln>
      </xdr:spPr>
    </xdr:pic>
    <xdr:clientData/>
  </xdr:twoCellAnchor>
  <xdr:twoCellAnchor editAs="oneCell">
    <xdr:from>
      <xdr:col>0</xdr:col>
      <xdr:colOff>696660</xdr:colOff>
      <xdr:row>12</xdr:row>
      <xdr:rowOff>1047750</xdr:rowOff>
    </xdr:from>
    <xdr:to>
      <xdr:col>0</xdr:col>
      <xdr:colOff>2417230</xdr:colOff>
      <xdr:row>12</xdr:row>
      <xdr:rowOff>2436951</xdr:rowOff>
    </xdr:to>
    <xdr:pic>
      <xdr:nvPicPr>
        <xdr:cNvPr id="38" name="Picture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10"/>
        <a:stretch>
          <a:fillRect/>
        </a:stretch>
      </xdr:blipFill>
      <xdr:spPr>
        <a:xfrm>
          <a:off x="696660" y="25174989"/>
          <a:ext cx="1720570" cy="1389201"/>
        </a:xfrm>
        <a:prstGeom prst="rect">
          <a:avLst/>
        </a:prstGeom>
        <a:ln>
          <a:solidFill>
            <a:sysClr val="windowText" lastClr="000000"/>
          </a:solidFill>
        </a:ln>
      </xdr:spPr>
    </xdr:pic>
    <xdr:clientData/>
  </xdr:twoCellAnchor>
  <xdr:twoCellAnchor editAs="oneCell">
    <xdr:from>
      <xdr:col>0</xdr:col>
      <xdr:colOff>583464</xdr:colOff>
      <xdr:row>10</xdr:row>
      <xdr:rowOff>1100666</xdr:rowOff>
    </xdr:from>
    <xdr:to>
      <xdr:col>0</xdr:col>
      <xdr:colOff>2464285</xdr:colOff>
      <xdr:row>10</xdr:row>
      <xdr:rowOff>2439011</xdr:rowOff>
    </xdr:to>
    <xdr:pic>
      <xdr:nvPicPr>
        <xdr:cNvPr id="39" name="Picture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11"/>
        <a:stretch>
          <a:fillRect/>
        </a:stretch>
      </xdr:blipFill>
      <xdr:spPr>
        <a:xfrm>
          <a:off x="583464" y="20291470"/>
          <a:ext cx="1880821" cy="1338345"/>
        </a:xfrm>
        <a:prstGeom prst="rect">
          <a:avLst/>
        </a:prstGeom>
        <a:ln>
          <a:solidFill>
            <a:sysClr val="windowText" lastClr="000000"/>
          </a:solidFill>
        </a:ln>
      </xdr:spPr>
    </xdr:pic>
    <xdr:clientData/>
  </xdr:twoCellAnchor>
  <xdr:twoCellAnchor editAs="oneCell">
    <xdr:from>
      <xdr:col>0</xdr:col>
      <xdr:colOff>709543</xdr:colOff>
      <xdr:row>9</xdr:row>
      <xdr:rowOff>1215704</xdr:rowOff>
    </xdr:from>
    <xdr:to>
      <xdr:col>0</xdr:col>
      <xdr:colOff>2360623</xdr:colOff>
      <xdr:row>9</xdr:row>
      <xdr:rowOff>2411621</xdr:rowOff>
    </xdr:to>
    <xdr:pic>
      <xdr:nvPicPr>
        <xdr:cNvPr id="40" name="Picture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12"/>
        <a:stretch>
          <a:fillRect/>
        </a:stretch>
      </xdr:blipFill>
      <xdr:spPr>
        <a:xfrm>
          <a:off x="709543" y="17938291"/>
          <a:ext cx="1651080" cy="1195917"/>
        </a:xfrm>
        <a:prstGeom prst="rect">
          <a:avLst/>
        </a:prstGeom>
        <a:ln>
          <a:solidFill>
            <a:sysClr val="windowText" lastClr="000000"/>
          </a:solidFill>
        </a:ln>
      </xdr:spPr>
    </xdr:pic>
    <xdr:clientData/>
  </xdr:twoCellAnchor>
  <xdr:twoCellAnchor editAs="oneCell">
    <xdr:from>
      <xdr:col>0</xdr:col>
      <xdr:colOff>647883</xdr:colOff>
      <xdr:row>8</xdr:row>
      <xdr:rowOff>1061555</xdr:rowOff>
    </xdr:from>
    <xdr:to>
      <xdr:col>0</xdr:col>
      <xdr:colOff>2364398</xdr:colOff>
      <xdr:row>8</xdr:row>
      <xdr:rowOff>2389352</xdr:rowOff>
    </xdr:to>
    <xdr:pic>
      <xdr:nvPicPr>
        <xdr:cNvPr id="42" name="Picture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13"/>
        <a:stretch>
          <a:fillRect/>
        </a:stretch>
      </xdr:blipFill>
      <xdr:spPr>
        <a:xfrm>
          <a:off x="647883" y="15315925"/>
          <a:ext cx="1716515" cy="1327797"/>
        </a:xfrm>
        <a:prstGeom prst="rect">
          <a:avLst/>
        </a:prstGeom>
        <a:ln>
          <a:solidFill>
            <a:sysClr val="windowText" lastClr="000000"/>
          </a:solidFill>
        </a:ln>
      </xdr:spPr>
    </xdr:pic>
    <xdr:clientData/>
  </xdr:twoCellAnchor>
  <xdr:twoCellAnchor editAs="oneCell">
    <xdr:from>
      <xdr:col>0</xdr:col>
      <xdr:colOff>45554</xdr:colOff>
      <xdr:row>36</xdr:row>
      <xdr:rowOff>1126434</xdr:rowOff>
    </xdr:from>
    <xdr:to>
      <xdr:col>0</xdr:col>
      <xdr:colOff>2984055</xdr:colOff>
      <xdr:row>36</xdr:row>
      <xdr:rowOff>2426805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4"/>
        <a:stretch>
          <a:fillRect/>
        </a:stretch>
      </xdr:blipFill>
      <xdr:spPr>
        <a:xfrm>
          <a:off x="45554" y="71048217"/>
          <a:ext cx="2938501" cy="1300371"/>
        </a:xfrm>
        <a:prstGeom prst="rect">
          <a:avLst/>
        </a:prstGeom>
        <a:ln>
          <a:solidFill>
            <a:sysClr val="windowText" lastClr="000000"/>
          </a:solidFill>
        </a:ln>
      </xdr:spPr>
    </xdr:pic>
    <xdr:clientData/>
  </xdr:twoCellAnchor>
  <xdr:twoCellAnchor editAs="oneCell">
    <xdr:from>
      <xdr:col>0</xdr:col>
      <xdr:colOff>49695</xdr:colOff>
      <xdr:row>29</xdr:row>
      <xdr:rowOff>1085023</xdr:rowOff>
    </xdr:from>
    <xdr:to>
      <xdr:col>0</xdr:col>
      <xdr:colOff>3000494</xdr:colOff>
      <xdr:row>29</xdr:row>
      <xdr:rowOff>2393675</xdr:rowOff>
    </xdr:to>
    <xdr:pic>
      <xdr:nvPicPr>
        <xdr:cNvPr id="9" name="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5"/>
        <a:stretch>
          <a:fillRect/>
        </a:stretch>
      </xdr:blipFill>
      <xdr:spPr>
        <a:xfrm>
          <a:off x="49695" y="56197501"/>
          <a:ext cx="2950799" cy="1308652"/>
        </a:xfrm>
        <a:prstGeom prst="rect">
          <a:avLst/>
        </a:prstGeom>
        <a:ln>
          <a:solidFill>
            <a:sysClr val="windowText" lastClr="000000"/>
          </a:solidFill>
        </a:ln>
      </xdr:spPr>
    </xdr:pic>
    <xdr:clientData/>
  </xdr:twoCellAnchor>
  <xdr:twoCellAnchor editAs="oneCell">
    <xdr:from>
      <xdr:col>0</xdr:col>
      <xdr:colOff>593945</xdr:colOff>
      <xdr:row>33</xdr:row>
      <xdr:rowOff>1580714</xdr:rowOff>
    </xdr:from>
    <xdr:to>
      <xdr:col>0</xdr:col>
      <xdr:colOff>2489638</xdr:colOff>
      <xdr:row>33</xdr:row>
      <xdr:rowOff>2421129</xdr:rowOff>
    </xdr:to>
    <xdr:pic>
      <xdr:nvPicPr>
        <xdr:cNvPr id="44" name="Picture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6"/>
        <a:stretch>
          <a:fillRect/>
        </a:stretch>
      </xdr:blipFill>
      <xdr:spPr>
        <a:xfrm>
          <a:off x="593945" y="77577076"/>
          <a:ext cx="1895693" cy="840415"/>
        </a:xfrm>
        <a:prstGeom prst="rect">
          <a:avLst/>
        </a:prstGeom>
      </xdr:spPr>
    </xdr:pic>
    <xdr:clientData/>
  </xdr:twoCellAnchor>
  <xdr:twoCellAnchor>
    <xdr:from>
      <xdr:col>0</xdr:col>
      <xdr:colOff>72258</xdr:colOff>
      <xdr:row>33</xdr:row>
      <xdr:rowOff>729155</xdr:rowOff>
    </xdr:from>
    <xdr:to>
      <xdr:col>0</xdr:col>
      <xdr:colOff>1516047</xdr:colOff>
      <xdr:row>33</xdr:row>
      <xdr:rowOff>895226</xdr:rowOff>
    </xdr:to>
    <xdr:sp macro="" textlink="">
      <xdr:nvSpPr>
        <xdr:cNvPr id="46" name="TextBox 17">
          <a:extLst>
            <a:ext uri="{FF2B5EF4-FFF2-40B4-BE49-F238E27FC236}">
              <a16:creationId xmlns:a16="http://schemas.microsoft.com/office/drawing/2014/main" id="{00000000-0008-0000-0900-00002E000000}"/>
            </a:ext>
          </a:extLst>
        </xdr:cNvPr>
        <xdr:cNvSpPr txBox="1"/>
      </xdr:nvSpPr>
      <xdr:spPr>
        <a:xfrm>
          <a:off x="72258" y="76725517"/>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Ground Floor</a:t>
          </a:r>
        </a:p>
      </xdr:txBody>
    </xdr:sp>
    <xdr:clientData/>
  </xdr:twoCellAnchor>
  <xdr:twoCellAnchor>
    <xdr:from>
      <xdr:col>0</xdr:col>
      <xdr:colOff>131379</xdr:colOff>
      <xdr:row>33</xdr:row>
      <xdr:rowOff>1555986</xdr:rowOff>
    </xdr:from>
    <xdr:to>
      <xdr:col>0</xdr:col>
      <xdr:colOff>1575168</xdr:colOff>
      <xdr:row>33</xdr:row>
      <xdr:rowOff>1722057</xdr:rowOff>
    </xdr:to>
    <xdr:sp macro="" textlink="">
      <xdr:nvSpPr>
        <xdr:cNvPr id="47" name="TextBox 18">
          <a:extLst>
            <a:ext uri="{FF2B5EF4-FFF2-40B4-BE49-F238E27FC236}">
              <a16:creationId xmlns:a16="http://schemas.microsoft.com/office/drawing/2014/main" id="{00000000-0008-0000-0900-00002F000000}"/>
            </a:ext>
          </a:extLst>
        </xdr:cNvPr>
        <xdr:cNvSpPr txBox="1"/>
      </xdr:nvSpPr>
      <xdr:spPr>
        <a:xfrm>
          <a:off x="131379" y="77552348"/>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First Floor</a:t>
          </a:r>
        </a:p>
      </xdr:txBody>
    </xdr:sp>
    <xdr:clientData/>
  </xdr:twoCellAnchor>
  <xdr:twoCellAnchor>
    <xdr:from>
      <xdr:col>0</xdr:col>
      <xdr:colOff>1</xdr:colOff>
      <xdr:row>30</xdr:row>
      <xdr:rowOff>738188</xdr:rowOff>
    </xdr:from>
    <xdr:to>
      <xdr:col>0</xdr:col>
      <xdr:colOff>595313</xdr:colOff>
      <xdr:row>30</xdr:row>
      <xdr:rowOff>904259</xdr:rowOff>
    </xdr:to>
    <xdr:sp macro="" textlink="">
      <xdr:nvSpPr>
        <xdr:cNvPr id="48" name="TextBox 17">
          <a:extLst>
            <a:ext uri="{FF2B5EF4-FFF2-40B4-BE49-F238E27FC236}">
              <a16:creationId xmlns:a16="http://schemas.microsoft.com/office/drawing/2014/main" id="{00000000-0008-0000-0900-000030000000}"/>
            </a:ext>
          </a:extLst>
        </xdr:cNvPr>
        <xdr:cNvSpPr txBox="1"/>
      </xdr:nvSpPr>
      <xdr:spPr>
        <a:xfrm>
          <a:off x="1" y="67186969"/>
          <a:ext cx="595312"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Ground Floor</a:t>
          </a:r>
        </a:p>
      </xdr:txBody>
    </xdr:sp>
    <xdr:clientData/>
  </xdr:twoCellAnchor>
  <xdr:twoCellAnchor>
    <xdr:from>
      <xdr:col>0</xdr:col>
      <xdr:colOff>52553</xdr:colOff>
      <xdr:row>30</xdr:row>
      <xdr:rowOff>1656984</xdr:rowOff>
    </xdr:from>
    <xdr:to>
      <xdr:col>0</xdr:col>
      <xdr:colOff>647865</xdr:colOff>
      <xdr:row>30</xdr:row>
      <xdr:rowOff>1823055</xdr:rowOff>
    </xdr:to>
    <xdr:sp macro="" textlink="">
      <xdr:nvSpPr>
        <xdr:cNvPr id="49" name="TextBox 18">
          <a:extLst>
            <a:ext uri="{FF2B5EF4-FFF2-40B4-BE49-F238E27FC236}">
              <a16:creationId xmlns:a16="http://schemas.microsoft.com/office/drawing/2014/main" id="{00000000-0008-0000-0900-000031000000}"/>
            </a:ext>
          </a:extLst>
        </xdr:cNvPr>
        <xdr:cNvSpPr txBox="1"/>
      </xdr:nvSpPr>
      <xdr:spPr>
        <a:xfrm>
          <a:off x="52553" y="68105765"/>
          <a:ext cx="595312"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First Floor</a:t>
          </a:r>
        </a:p>
      </xdr:txBody>
    </xdr:sp>
    <xdr:clientData/>
  </xdr:twoCellAnchor>
  <xdr:twoCellAnchor editAs="oneCell">
    <xdr:from>
      <xdr:col>0</xdr:col>
      <xdr:colOff>568932</xdr:colOff>
      <xdr:row>37</xdr:row>
      <xdr:rowOff>787253</xdr:rowOff>
    </xdr:from>
    <xdr:to>
      <xdr:col>0</xdr:col>
      <xdr:colOff>2660432</xdr:colOff>
      <xdr:row>37</xdr:row>
      <xdr:rowOff>1586465</xdr:rowOff>
    </xdr:to>
    <xdr:pic>
      <xdr:nvPicPr>
        <xdr:cNvPr id="50" name="Picture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17"/>
        <a:stretch>
          <a:fillRect/>
        </a:stretch>
      </xdr:blipFill>
      <xdr:spPr>
        <a:xfrm>
          <a:off x="568932" y="86663339"/>
          <a:ext cx="2091500" cy="799212"/>
        </a:xfrm>
        <a:prstGeom prst="rect">
          <a:avLst/>
        </a:prstGeom>
        <a:ln>
          <a:solidFill>
            <a:sysClr val="windowText" lastClr="000000"/>
          </a:solidFill>
        </a:ln>
      </xdr:spPr>
    </xdr:pic>
    <xdr:clientData/>
  </xdr:twoCellAnchor>
  <xdr:twoCellAnchor editAs="oneCell">
    <xdr:from>
      <xdr:col>0</xdr:col>
      <xdr:colOff>571502</xdr:colOff>
      <xdr:row>37</xdr:row>
      <xdr:rowOff>1606120</xdr:rowOff>
    </xdr:from>
    <xdr:to>
      <xdr:col>0</xdr:col>
      <xdr:colOff>2660431</xdr:colOff>
      <xdr:row>37</xdr:row>
      <xdr:rowOff>2448354</xdr:rowOff>
    </xdr:to>
    <xdr:pic>
      <xdr:nvPicPr>
        <xdr:cNvPr id="51" name="Picture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18"/>
        <a:stretch>
          <a:fillRect/>
        </a:stretch>
      </xdr:blipFill>
      <xdr:spPr>
        <a:xfrm>
          <a:off x="571502" y="87482206"/>
          <a:ext cx="2088929" cy="842234"/>
        </a:xfrm>
        <a:prstGeom prst="rect">
          <a:avLst/>
        </a:prstGeom>
        <a:ln>
          <a:solidFill>
            <a:sysClr val="windowText" lastClr="000000"/>
          </a:solidFill>
        </a:ln>
      </xdr:spPr>
    </xdr:pic>
    <xdr:clientData/>
  </xdr:twoCellAnchor>
  <xdr:twoCellAnchor>
    <xdr:from>
      <xdr:col>0</xdr:col>
      <xdr:colOff>49649</xdr:colOff>
      <xdr:row>37</xdr:row>
      <xdr:rowOff>800254</xdr:rowOff>
    </xdr:from>
    <xdr:to>
      <xdr:col>0</xdr:col>
      <xdr:colOff>1493438</xdr:colOff>
      <xdr:row>37</xdr:row>
      <xdr:rowOff>966325</xdr:rowOff>
    </xdr:to>
    <xdr:sp macro="" textlink="">
      <xdr:nvSpPr>
        <xdr:cNvPr id="52" name="TextBox 17">
          <a:extLst>
            <a:ext uri="{FF2B5EF4-FFF2-40B4-BE49-F238E27FC236}">
              <a16:creationId xmlns:a16="http://schemas.microsoft.com/office/drawing/2014/main" id="{00000000-0008-0000-0900-000034000000}"/>
            </a:ext>
          </a:extLst>
        </xdr:cNvPr>
        <xdr:cNvSpPr txBox="1"/>
      </xdr:nvSpPr>
      <xdr:spPr>
        <a:xfrm>
          <a:off x="49649" y="86676340"/>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Ground Floor</a:t>
          </a:r>
        </a:p>
      </xdr:txBody>
    </xdr:sp>
    <xdr:clientData/>
  </xdr:twoCellAnchor>
  <xdr:twoCellAnchor>
    <xdr:from>
      <xdr:col>0</xdr:col>
      <xdr:colOff>141427</xdr:colOff>
      <xdr:row>37</xdr:row>
      <xdr:rowOff>1574533</xdr:rowOff>
    </xdr:from>
    <xdr:to>
      <xdr:col>0</xdr:col>
      <xdr:colOff>1585216</xdr:colOff>
      <xdr:row>37</xdr:row>
      <xdr:rowOff>1740604</xdr:rowOff>
    </xdr:to>
    <xdr:sp macro="" textlink="">
      <xdr:nvSpPr>
        <xdr:cNvPr id="53" name="TextBox 18">
          <a:extLst>
            <a:ext uri="{FF2B5EF4-FFF2-40B4-BE49-F238E27FC236}">
              <a16:creationId xmlns:a16="http://schemas.microsoft.com/office/drawing/2014/main" id="{00000000-0008-0000-0900-000035000000}"/>
            </a:ext>
          </a:extLst>
        </xdr:cNvPr>
        <xdr:cNvSpPr txBox="1"/>
      </xdr:nvSpPr>
      <xdr:spPr>
        <a:xfrm>
          <a:off x="141427" y="87450619"/>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First Floor</a:t>
          </a:r>
        </a:p>
      </xdr:txBody>
    </xdr:sp>
    <xdr:clientData/>
  </xdr:twoCellAnchor>
  <xdr:twoCellAnchor editAs="oneCell">
    <xdr:from>
      <xdr:col>0</xdr:col>
      <xdr:colOff>656167</xdr:colOff>
      <xdr:row>38</xdr:row>
      <xdr:rowOff>846279</xdr:rowOff>
    </xdr:from>
    <xdr:to>
      <xdr:col>0</xdr:col>
      <xdr:colOff>2706415</xdr:colOff>
      <xdr:row>38</xdr:row>
      <xdr:rowOff>1614966</xdr:rowOff>
    </xdr:to>
    <xdr:pic>
      <xdr:nvPicPr>
        <xdr:cNvPr id="54" name="Picture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19"/>
        <a:stretch>
          <a:fillRect/>
        </a:stretch>
      </xdr:blipFill>
      <xdr:spPr>
        <a:xfrm>
          <a:off x="656167" y="89192296"/>
          <a:ext cx="2050248" cy="768687"/>
        </a:xfrm>
        <a:prstGeom prst="rect">
          <a:avLst/>
        </a:prstGeom>
        <a:ln>
          <a:solidFill>
            <a:sysClr val="windowText" lastClr="000000"/>
          </a:solidFill>
        </a:ln>
      </xdr:spPr>
    </xdr:pic>
    <xdr:clientData/>
  </xdr:twoCellAnchor>
  <xdr:twoCellAnchor editAs="oneCell">
    <xdr:from>
      <xdr:col>0</xdr:col>
      <xdr:colOff>657401</xdr:colOff>
      <xdr:row>38</xdr:row>
      <xdr:rowOff>1656637</xdr:rowOff>
    </xdr:from>
    <xdr:to>
      <xdr:col>0</xdr:col>
      <xdr:colOff>2706414</xdr:colOff>
      <xdr:row>38</xdr:row>
      <xdr:rowOff>2415022</xdr:rowOff>
    </xdr:to>
    <xdr:pic>
      <xdr:nvPicPr>
        <xdr:cNvPr id="55" name="Picture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20"/>
        <a:stretch>
          <a:fillRect/>
        </a:stretch>
      </xdr:blipFill>
      <xdr:spPr>
        <a:xfrm>
          <a:off x="657401" y="90002654"/>
          <a:ext cx="2049013" cy="758385"/>
        </a:xfrm>
        <a:prstGeom prst="rect">
          <a:avLst/>
        </a:prstGeom>
        <a:ln>
          <a:solidFill>
            <a:sysClr val="windowText" lastClr="000000"/>
          </a:solidFill>
        </a:ln>
      </xdr:spPr>
    </xdr:pic>
    <xdr:clientData/>
  </xdr:twoCellAnchor>
  <xdr:twoCellAnchor>
    <xdr:from>
      <xdr:col>0</xdr:col>
      <xdr:colOff>131015</xdr:colOff>
      <xdr:row>38</xdr:row>
      <xdr:rowOff>836448</xdr:rowOff>
    </xdr:from>
    <xdr:to>
      <xdr:col>0</xdr:col>
      <xdr:colOff>1574804</xdr:colOff>
      <xdr:row>38</xdr:row>
      <xdr:rowOff>1002519</xdr:rowOff>
    </xdr:to>
    <xdr:sp macro="" textlink="">
      <xdr:nvSpPr>
        <xdr:cNvPr id="56" name="TextBox 17">
          <a:extLst>
            <a:ext uri="{FF2B5EF4-FFF2-40B4-BE49-F238E27FC236}">
              <a16:creationId xmlns:a16="http://schemas.microsoft.com/office/drawing/2014/main" id="{00000000-0008-0000-0900-000038000000}"/>
            </a:ext>
          </a:extLst>
        </xdr:cNvPr>
        <xdr:cNvSpPr txBox="1"/>
      </xdr:nvSpPr>
      <xdr:spPr>
        <a:xfrm>
          <a:off x="131015" y="89182465"/>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Ground Floor</a:t>
          </a:r>
        </a:p>
      </xdr:txBody>
    </xdr:sp>
    <xdr:clientData/>
  </xdr:twoCellAnchor>
  <xdr:twoCellAnchor>
    <xdr:from>
      <xdr:col>0</xdr:col>
      <xdr:colOff>196705</xdr:colOff>
      <xdr:row>38</xdr:row>
      <xdr:rowOff>1623865</xdr:rowOff>
    </xdr:from>
    <xdr:to>
      <xdr:col>0</xdr:col>
      <xdr:colOff>1640494</xdr:colOff>
      <xdr:row>38</xdr:row>
      <xdr:rowOff>1789936</xdr:rowOff>
    </xdr:to>
    <xdr:sp macro="" textlink="">
      <xdr:nvSpPr>
        <xdr:cNvPr id="57" name="TextBox 18">
          <a:extLst>
            <a:ext uri="{FF2B5EF4-FFF2-40B4-BE49-F238E27FC236}">
              <a16:creationId xmlns:a16="http://schemas.microsoft.com/office/drawing/2014/main" id="{00000000-0008-0000-0900-000039000000}"/>
            </a:ext>
          </a:extLst>
        </xdr:cNvPr>
        <xdr:cNvSpPr txBox="1"/>
      </xdr:nvSpPr>
      <xdr:spPr>
        <a:xfrm>
          <a:off x="196705" y="87835698"/>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First Floor</a:t>
          </a:r>
        </a:p>
      </xdr:txBody>
    </xdr:sp>
    <xdr:clientData/>
  </xdr:twoCellAnchor>
  <xdr:twoCellAnchor editAs="oneCell">
    <xdr:from>
      <xdr:col>0</xdr:col>
      <xdr:colOff>762000</xdr:colOff>
      <xdr:row>39</xdr:row>
      <xdr:rowOff>1623025</xdr:rowOff>
    </xdr:from>
    <xdr:to>
      <xdr:col>0</xdr:col>
      <xdr:colOff>2804948</xdr:colOff>
      <xdr:row>39</xdr:row>
      <xdr:rowOff>2441724</xdr:rowOff>
    </xdr:to>
    <xdr:pic>
      <xdr:nvPicPr>
        <xdr:cNvPr id="58" name="Picture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21"/>
        <a:stretch>
          <a:fillRect/>
        </a:stretch>
      </xdr:blipFill>
      <xdr:spPr>
        <a:xfrm>
          <a:off x="762000" y="92438973"/>
          <a:ext cx="2042948" cy="818699"/>
        </a:xfrm>
        <a:prstGeom prst="rect">
          <a:avLst/>
        </a:prstGeom>
        <a:ln>
          <a:solidFill>
            <a:sysClr val="windowText" lastClr="000000"/>
          </a:solidFill>
        </a:ln>
      </xdr:spPr>
    </xdr:pic>
    <xdr:clientData/>
  </xdr:twoCellAnchor>
  <xdr:twoCellAnchor editAs="oneCell">
    <xdr:from>
      <xdr:col>0</xdr:col>
      <xdr:colOff>760791</xdr:colOff>
      <xdr:row>39</xdr:row>
      <xdr:rowOff>766828</xdr:rowOff>
    </xdr:from>
    <xdr:to>
      <xdr:col>0</xdr:col>
      <xdr:colOff>2811517</xdr:colOff>
      <xdr:row>39</xdr:row>
      <xdr:rowOff>1588644</xdr:rowOff>
    </xdr:to>
    <xdr:pic>
      <xdr:nvPicPr>
        <xdr:cNvPr id="59" name="Picture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21"/>
        <a:stretch>
          <a:fillRect/>
        </a:stretch>
      </xdr:blipFill>
      <xdr:spPr>
        <a:xfrm>
          <a:off x="760791" y="91582776"/>
          <a:ext cx="2050726" cy="821816"/>
        </a:xfrm>
        <a:prstGeom prst="rect">
          <a:avLst/>
        </a:prstGeom>
        <a:ln>
          <a:solidFill>
            <a:sysClr val="windowText" lastClr="000000"/>
          </a:solidFill>
        </a:ln>
      </xdr:spPr>
    </xdr:pic>
    <xdr:clientData/>
  </xdr:twoCellAnchor>
  <xdr:twoCellAnchor>
    <xdr:from>
      <xdr:col>0</xdr:col>
      <xdr:colOff>193054</xdr:colOff>
      <xdr:row>39</xdr:row>
      <xdr:rowOff>795210</xdr:rowOff>
    </xdr:from>
    <xdr:to>
      <xdr:col>0</xdr:col>
      <xdr:colOff>1636843</xdr:colOff>
      <xdr:row>39</xdr:row>
      <xdr:rowOff>961281</xdr:rowOff>
    </xdr:to>
    <xdr:sp macro="" textlink="">
      <xdr:nvSpPr>
        <xdr:cNvPr id="60" name="TextBox 17">
          <a:extLst>
            <a:ext uri="{FF2B5EF4-FFF2-40B4-BE49-F238E27FC236}">
              <a16:creationId xmlns:a16="http://schemas.microsoft.com/office/drawing/2014/main" id="{00000000-0008-0000-0900-00003C000000}"/>
            </a:ext>
          </a:extLst>
        </xdr:cNvPr>
        <xdr:cNvSpPr txBox="1"/>
      </xdr:nvSpPr>
      <xdr:spPr>
        <a:xfrm>
          <a:off x="193054" y="91611158"/>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Ground Floor</a:t>
          </a:r>
        </a:p>
      </xdr:txBody>
    </xdr:sp>
    <xdr:clientData/>
  </xdr:twoCellAnchor>
  <xdr:twoCellAnchor>
    <xdr:from>
      <xdr:col>0</xdr:col>
      <xdr:colOff>239037</xdr:colOff>
      <xdr:row>39</xdr:row>
      <xdr:rowOff>1549782</xdr:rowOff>
    </xdr:from>
    <xdr:to>
      <xdr:col>0</xdr:col>
      <xdr:colOff>1682826</xdr:colOff>
      <xdr:row>39</xdr:row>
      <xdr:rowOff>1715853</xdr:rowOff>
    </xdr:to>
    <xdr:sp macro="" textlink="">
      <xdr:nvSpPr>
        <xdr:cNvPr id="61" name="TextBox 18">
          <a:extLst>
            <a:ext uri="{FF2B5EF4-FFF2-40B4-BE49-F238E27FC236}">
              <a16:creationId xmlns:a16="http://schemas.microsoft.com/office/drawing/2014/main" id="{00000000-0008-0000-0900-00003D000000}"/>
            </a:ext>
          </a:extLst>
        </xdr:cNvPr>
        <xdr:cNvSpPr txBox="1"/>
      </xdr:nvSpPr>
      <xdr:spPr>
        <a:xfrm>
          <a:off x="239037" y="90227532"/>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First Floor</a:t>
          </a:r>
        </a:p>
      </xdr:txBody>
    </xdr:sp>
    <xdr:clientData/>
  </xdr:twoCellAnchor>
  <xdr:twoCellAnchor editAs="oneCell">
    <xdr:from>
      <xdr:col>0</xdr:col>
      <xdr:colOff>871904</xdr:colOff>
      <xdr:row>40</xdr:row>
      <xdr:rowOff>1587641</xdr:rowOff>
    </xdr:from>
    <xdr:to>
      <xdr:col>0</xdr:col>
      <xdr:colOff>2837794</xdr:colOff>
      <xdr:row>40</xdr:row>
      <xdr:rowOff>2431651</xdr:rowOff>
    </xdr:to>
    <xdr:pic>
      <xdr:nvPicPr>
        <xdr:cNvPr id="62" name="Picture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22"/>
        <a:stretch>
          <a:fillRect/>
        </a:stretch>
      </xdr:blipFill>
      <xdr:spPr>
        <a:xfrm>
          <a:off x="871904" y="94873520"/>
          <a:ext cx="1965890" cy="844010"/>
        </a:xfrm>
        <a:prstGeom prst="rect">
          <a:avLst/>
        </a:prstGeom>
        <a:ln>
          <a:solidFill>
            <a:sysClr val="windowText" lastClr="000000"/>
          </a:solidFill>
        </a:ln>
      </xdr:spPr>
    </xdr:pic>
    <xdr:clientData/>
  </xdr:twoCellAnchor>
  <xdr:twoCellAnchor editAs="oneCell">
    <xdr:from>
      <xdr:col>0</xdr:col>
      <xdr:colOff>1011115</xdr:colOff>
      <xdr:row>41</xdr:row>
      <xdr:rowOff>1629354</xdr:rowOff>
    </xdr:from>
    <xdr:to>
      <xdr:col>0</xdr:col>
      <xdr:colOff>2811517</xdr:colOff>
      <xdr:row>41</xdr:row>
      <xdr:rowOff>2449191</xdr:rowOff>
    </xdr:to>
    <xdr:pic>
      <xdr:nvPicPr>
        <xdr:cNvPr id="63" name="Picture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23"/>
        <a:stretch>
          <a:fillRect/>
        </a:stretch>
      </xdr:blipFill>
      <xdr:spPr>
        <a:xfrm>
          <a:off x="1011115" y="97385164"/>
          <a:ext cx="1800402" cy="819837"/>
        </a:xfrm>
        <a:prstGeom prst="rect">
          <a:avLst/>
        </a:prstGeom>
        <a:ln>
          <a:solidFill>
            <a:sysClr val="windowText" lastClr="000000"/>
          </a:solidFill>
        </a:ln>
      </xdr:spPr>
    </xdr:pic>
    <xdr:clientData/>
  </xdr:twoCellAnchor>
  <xdr:twoCellAnchor editAs="oneCell">
    <xdr:from>
      <xdr:col>0</xdr:col>
      <xdr:colOff>879231</xdr:colOff>
      <xdr:row>40</xdr:row>
      <xdr:rowOff>723188</xdr:rowOff>
    </xdr:from>
    <xdr:to>
      <xdr:col>0</xdr:col>
      <xdr:colOff>2844362</xdr:colOff>
      <xdr:row>40</xdr:row>
      <xdr:rowOff>1566872</xdr:rowOff>
    </xdr:to>
    <xdr:pic>
      <xdr:nvPicPr>
        <xdr:cNvPr id="64" name="Picture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22"/>
        <a:stretch>
          <a:fillRect/>
        </a:stretch>
      </xdr:blipFill>
      <xdr:spPr>
        <a:xfrm>
          <a:off x="879231" y="94009067"/>
          <a:ext cx="1965131" cy="843684"/>
        </a:xfrm>
        <a:prstGeom prst="rect">
          <a:avLst/>
        </a:prstGeom>
        <a:ln>
          <a:solidFill>
            <a:sysClr val="windowText" lastClr="000000"/>
          </a:solidFill>
        </a:ln>
      </xdr:spPr>
    </xdr:pic>
    <xdr:clientData/>
  </xdr:twoCellAnchor>
  <xdr:twoCellAnchor>
    <xdr:from>
      <xdr:col>0</xdr:col>
      <xdr:colOff>305231</xdr:colOff>
      <xdr:row>40</xdr:row>
      <xdr:rowOff>730761</xdr:rowOff>
    </xdr:from>
    <xdr:to>
      <xdr:col>0</xdr:col>
      <xdr:colOff>1749020</xdr:colOff>
      <xdr:row>40</xdr:row>
      <xdr:rowOff>896832</xdr:rowOff>
    </xdr:to>
    <xdr:sp macro="" textlink="">
      <xdr:nvSpPr>
        <xdr:cNvPr id="65" name="TextBox 17">
          <a:extLst>
            <a:ext uri="{FF2B5EF4-FFF2-40B4-BE49-F238E27FC236}">
              <a16:creationId xmlns:a16="http://schemas.microsoft.com/office/drawing/2014/main" id="{00000000-0008-0000-0900-000041000000}"/>
            </a:ext>
          </a:extLst>
        </xdr:cNvPr>
        <xdr:cNvSpPr txBox="1"/>
      </xdr:nvSpPr>
      <xdr:spPr>
        <a:xfrm>
          <a:off x="305231" y="94016640"/>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Ground Floor</a:t>
          </a:r>
        </a:p>
      </xdr:txBody>
    </xdr:sp>
    <xdr:clientData/>
  </xdr:twoCellAnchor>
  <xdr:twoCellAnchor>
    <xdr:from>
      <xdr:col>0</xdr:col>
      <xdr:colOff>348940</xdr:colOff>
      <xdr:row>40</xdr:row>
      <xdr:rowOff>1537126</xdr:rowOff>
    </xdr:from>
    <xdr:to>
      <xdr:col>0</xdr:col>
      <xdr:colOff>1792729</xdr:colOff>
      <xdr:row>40</xdr:row>
      <xdr:rowOff>1703197</xdr:rowOff>
    </xdr:to>
    <xdr:sp macro="" textlink="">
      <xdr:nvSpPr>
        <xdr:cNvPr id="66" name="TextBox 18">
          <a:extLst>
            <a:ext uri="{FF2B5EF4-FFF2-40B4-BE49-F238E27FC236}">
              <a16:creationId xmlns:a16="http://schemas.microsoft.com/office/drawing/2014/main" id="{00000000-0008-0000-0900-000042000000}"/>
            </a:ext>
          </a:extLst>
        </xdr:cNvPr>
        <xdr:cNvSpPr txBox="1"/>
      </xdr:nvSpPr>
      <xdr:spPr>
        <a:xfrm>
          <a:off x="348940" y="92786626"/>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First Floor</a:t>
          </a:r>
        </a:p>
      </xdr:txBody>
    </xdr:sp>
    <xdr:clientData/>
  </xdr:twoCellAnchor>
  <xdr:twoCellAnchor editAs="oneCell">
    <xdr:from>
      <xdr:col>0</xdr:col>
      <xdr:colOff>1011114</xdr:colOff>
      <xdr:row>41</xdr:row>
      <xdr:rowOff>789611</xdr:rowOff>
    </xdr:from>
    <xdr:to>
      <xdr:col>0</xdr:col>
      <xdr:colOff>2811517</xdr:colOff>
      <xdr:row>41</xdr:row>
      <xdr:rowOff>1609449</xdr:rowOff>
    </xdr:to>
    <xdr:pic>
      <xdr:nvPicPr>
        <xdr:cNvPr id="67" name="Picture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23"/>
        <a:stretch>
          <a:fillRect/>
        </a:stretch>
      </xdr:blipFill>
      <xdr:spPr>
        <a:xfrm>
          <a:off x="1011114" y="96545421"/>
          <a:ext cx="1800403" cy="819838"/>
        </a:xfrm>
        <a:prstGeom prst="rect">
          <a:avLst/>
        </a:prstGeom>
        <a:ln>
          <a:solidFill>
            <a:sysClr val="windowText" lastClr="000000"/>
          </a:solidFill>
        </a:ln>
      </xdr:spPr>
    </xdr:pic>
    <xdr:clientData/>
  </xdr:twoCellAnchor>
  <xdr:twoCellAnchor>
    <xdr:from>
      <xdr:col>0</xdr:col>
      <xdr:colOff>440190</xdr:colOff>
      <xdr:row>41</xdr:row>
      <xdr:rowOff>803366</xdr:rowOff>
    </xdr:from>
    <xdr:to>
      <xdr:col>0</xdr:col>
      <xdr:colOff>1883979</xdr:colOff>
      <xdr:row>41</xdr:row>
      <xdr:rowOff>969437</xdr:rowOff>
    </xdr:to>
    <xdr:sp macro="" textlink="">
      <xdr:nvSpPr>
        <xdr:cNvPr id="68" name="TextBox 17">
          <a:extLst>
            <a:ext uri="{FF2B5EF4-FFF2-40B4-BE49-F238E27FC236}">
              <a16:creationId xmlns:a16="http://schemas.microsoft.com/office/drawing/2014/main" id="{00000000-0008-0000-0900-000044000000}"/>
            </a:ext>
          </a:extLst>
        </xdr:cNvPr>
        <xdr:cNvSpPr txBox="1"/>
      </xdr:nvSpPr>
      <xdr:spPr>
        <a:xfrm>
          <a:off x="440190" y="96559176"/>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Ground Floor</a:t>
          </a:r>
        </a:p>
      </xdr:txBody>
    </xdr:sp>
    <xdr:clientData/>
  </xdr:twoCellAnchor>
  <xdr:twoCellAnchor>
    <xdr:from>
      <xdr:col>0</xdr:col>
      <xdr:colOff>492742</xdr:colOff>
      <xdr:row>41</xdr:row>
      <xdr:rowOff>1554149</xdr:rowOff>
    </xdr:from>
    <xdr:to>
      <xdr:col>0</xdr:col>
      <xdr:colOff>1936531</xdr:colOff>
      <xdr:row>41</xdr:row>
      <xdr:rowOff>1720220</xdr:rowOff>
    </xdr:to>
    <xdr:sp macro="" textlink="">
      <xdr:nvSpPr>
        <xdr:cNvPr id="69" name="TextBox 18">
          <a:extLst>
            <a:ext uri="{FF2B5EF4-FFF2-40B4-BE49-F238E27FC236}">
              <a16:creationId xmlns:a16="http://schemas.microsoft.com/office/drawing/2014/main" id="{00000000-0008-0000-0900-000045000000}"/>
            </a:ext>
          </a:extLst>
        </xdr:cNvPr>
        <xdr:cNvSpPr txBox="1"/>
      </xdr:nvSpPr>
      <xdr:spPr>
        <a:xfrm>
          <a:off x="492742" y="95272822"/>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First Floor</a:t>
          </a:r>
        </a:p>
      </xdr:txBody>
    </xdr:sp>
    <xdr:clientData/>
  </xdr:twoCellAnchor>
  <mc:AlternateContent xmlns:mc="http://schemas.openxmlformats.org/markup-compatibility/2006">
    <mc:Choice xmlns:a14="http://schemas.microsoft.com/office/drawing/2010/main" Requires="a14">
      <xdr:twoCellAnchor editAs="absolute">
        <xdr:from>
          <xdr:col>0</xdr:col>
          <xdr:colOff>136027</xdr:colOff>
          <xdr:row>3</xdr:row>
          <xdr:rowOff>2103</xdr:rowOff>
        </xdr:from>
        <xdr:to>
          <xdr:col>1</xdr:col>
          <xdr:colOff>2676</xdr:colOff>
          <xdr:row>3</xdr:row>
          <xdr:rowOff>1974694</xdr:rowOff>
        </xdr:to>
        <xdr:pic>
          <xdr:nvPicPr>
            <xdr:cNvPr id="70" name="Picture 69">
              <a:extLst>
                <a:ext uri="{FF2B5EF4-FFF2-40B4-BE49-F238E27FC236}">
                  <a16:creationId xmlns:a16="http://schemas.microsoft.com/office/drawing/2014/main" id="{00000000-0008-0000-0900-000046000000}"/>
                </a:ext>
              </a:extLst>
            </xdr:cNvPr>
            <xdr:cNvPicPr>
              <a:picLocks noChangeAspect="1"/>
              <a:extLst>
                <a:ext uri="{84589F7E-364E-4C9E-8A38-B11213B215E9}">
                  <a14:cameraTool cellRange="Image3" spid="_x0000_s50833"/>
                </a:ext>
              </a:extLst>
            </xdr:cNvPicPr>
          </xdr:nvPicPr>
          <xdr:blipFill>
            <a:blip xmlns:r="http://schemas.openxmlformats.org/officeDocument/2006/relationships" r:embed="rId24"/>
            <a:stretch>
              <a:fillRect/>
            </a:stretch>
          </xdr:blipFill>
          <xdr:spPr>
            <a:xfrm>
              <a:off x="136027" y="4812642"/>
              <a:ext cx="2971799" cy="1972591"/>
            </a:xfrm>
            <a:prstGeom prst="rect">
              <a:avLst/>
            </a:prstGeom>
            <a:ln>
              <a:noFill/>
            </a:ln>
          </xdr:spPr>
        </xdr:pic>
        <xdr:clientData/>
      </xdr:twoCellAnchor>
    </mc:Choice>
    <mc:Fallback/>
  </mc:AlternateContent>
  <xdr:twoCellAnchor editAs="oneCell">
    <xdr:from>
      <xdr:col>0</xdr:col>
      <xdr:colOff>672353</xdr:colOff>
      <xdr:row>42</xdr:row>
      <xdr:rowOff>1616888</xdr:rowOff>
    </xdr:from>
    <xdr:to>
      <xdr:col>0</xdr:col>
      <xdr:colOff>2831224</xdr:colOff>
      <xdr:row>42</xdr:row>
      <xdr:rowOff>2431676</xdr:rowOff>
    </xdr:to>
    <xdr:pic>
      <xdr:nvPicPr>
        <xdr:cNvPr id="71" name="Picture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25"/>
        <a:stretch>
          <a:fillRect/>
        </a:stretch>
      </xdr:blipFill>
      <xdr:spPr>
        <a:xfrm>
          <a:off x="672353" y="99842629"/>
          <a:ext cx="2158871" cy="814788"/>
        </a:xfrm>
        <a:prstGeom prst="rect">
          <a:avLst/>
        </a:prstGeom>
        <a:ln>
          <a:solidFill>
            <a:sysClr val="windowText" lastClr="000000"/>
          </a:solidFill>
        </a:ln>
      </xdr:spPr>
    </xdr:pic>
    <xdr:clientData/>
  </xdr:twoCellAnchor>
  <xdr:twoCellAnchor editAs="oneCell">
    <xdr:from>
      <xdr:col>0</xdr:col>
      <xdr:colOff>674439</xdr:colOff>
      <xdr:row>42</xdr:row>
      <xdr:rowOff>782412</xdr:rowOff>
    </xdr:from>
    <xdr:to>
      <xdr:col>0</xdr:col>
      <xdr:colOff>2831224</xdr:colOff>
      <xdr:row>42</xdr:row>
      <xdr:rowOff>1596413</xdr:rowOff>
    </xdr:to>
    <xdr:pic>
      <xdr:nvPicPr>
        <xdr:cNvPr id="72" name="Picture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25"/>
        <a:stretch>
          <a:fillRect/>
        </a:stretch>
      </xdr:blipFill>
      <xdr:spPr>
        <a:xfrm>
          <a:off x="674439" y="99008153"/>
          <a:ext cx="2156785" cy="814001"/>
        </a:xfrm>
        <a:prstGeom prst="rect">
          <a:avLst/>
        </a:prstGeom>
        <a:ln>
          <a:solidFill>
            <a:sysClr val="windowText" lastClr="000000"/>
          </a:solidFill>
        </a:ln>
      </xdr:spPr>
    </xdr:pic>
    <xdr:clientData/>
  </xdr:twoCellAnchor>
  <xdr:twoCellAnchor>
    <xdr:from>
      <xdr:col>0</xdr:col>
      <xdr:colOff>151542</xdr:colOff>
      <xdr:row>42</xdr:row>
      <xdr:rowOff>784833</xdr:rowOff>
    </xdr:from>
    <xdr:to>
      <xdr:col>0</xdr:col>
      <xdr:colOff>1595331</xdr:colOff>
      <xdr:row>42</xdr:row>
      <xdr:rowOff>950904</xdr:rowOff>
    </xdr:to>
    <xdr:sp macro="" textlink="">
      <xdr:nvSpPr>
        <xdr:cNvPr id="73" name="TextBox 17">
          <a:extLst>
            <a:ext uri="{FF2B5EF4-FFF2-40B4-BE49-F238E27FC236}">
              <a16:creationId xmlns:a16="http://schemas.microsoft.com/office/drawing/2014/main" id="{00000000-0008-0000-0900-000049000000}"/>
            </a:ext>
          </a:extLst>
        </xdr:cNvPr>
        <xdr:cNvSpPr txBox="1"/>
      </xdr:nvSpPr>
      <xdr:spPr>
        <a:xfrm>
          <a:off x="151542" y="99010574"/>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Ground Floor</a:t>
          </a:r>
        </a:p>
      </xdr:txBody>
    </xdr:sp>
    <xdr:clientData/>
  </xdr:twoCellAnchor>
  <xdr:twoCellAnchor>
    <xdr:from>
      <xdr:col>0</xdr:col>
      <xdr:colOff>223801</xdr:colOff>
      <xdr:row>42</xdr:row>
      <xdr:rowOff>1535616</xdr:rowOff>
    </xdr:from>
    <xdr:to>
      <xdr:col>0</xdr:col>
      <xdr:colOff>1667590</xdr:colOff>
      <xdr:row>42</xdr:row>
      <xdr:rowOff>1701687</xdr:rowOff>
    </xdr:to>
    <xdr:sp macro="" textlink="">
      <xdr:nvSpPr>
        <xdr:cNvPr id="74" name="TextBox 18">
          <a:extLst>
            <a:ext uri="{FF2B5EF4-FFF2-40B4-BE49-F238E27FC236}">
              <a16:creationId xmlns:a16="http://schemas.microsoft.com/office/drawing/2014/main" id="{00000000-0008-0000-0900-00004A000000}"/>
            </a:ext>
          </a:extLst>
        </xdr:cNvPr>
        <xdr:cNvSpPr txBox="1"/>
      </xdr:nvSpPr>
      <xdr:spPr>
        <a:xfrm>
          <a:off x="223801" y="99575881"/>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First Floor</a:t>
          </a:r>
        </a:p>
      </xdr:txBody>
    </xdr:sp>
    <xdr:clientData/>
  </xdr:twoCellAnchor>
  <xdr:twoCellAnchor editAs="oneCell">
    <xdr:from>
      <xdr:col>0</xdr:col>
      <xdr:colOff>927384</xdr:colOff>
      <xdr:row>43</xdr:row>
      <xdr:rowOff>1624879</xdr:rowOff>
    </xdr:from>
    <xdr:to>
      <xdr:col>0</xdr:col>
      <xdr:colOff>2791810</xdr:colOff>
      <xdr:row>43</xdr:row>
      <xdr:rowOff>2449941</xdr:rowOff>
    </xdr:to>
    <xdr:pic>
      <xdr:nvPicPr>
        <xdr:cNvPr id="76" name="Picture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14"/>
        <a:stretch>
          <a:fillRect/>
        </a:stretch>
      </xdr:blipFill>
      <xdr:spPr>
        <a:xfrm>
          <a:off x="927384" y="102320551"/>
          <a:ext cx="1864426" cy="825062"/>
        </a:xfrm>
        <a:prstGeom prst="rect">
          <a:avLst/>
        </a:prstGeom>
        <a:ln>
          <a:solidFill>
            <a:sysClr val="windowText" lastClr="000000"/>
          </a:solidFill>
        </a:ln>
      </xdr:spPr>
    </xdr:pic>
    <xdr:clientData/>
  </xdr:twoCellAnchor>
  <xdr:twoCellAnchor editAs="oneCell">
    <xdr:from>
      <xdr:col>0</xdr:col>
      <xdr:colOff>929148</xdr:colOff>
      <xdr:row>43</xdr:row>
      <xdr:rowOff>778806</xdr:rowOff>
    </xdr:from>
    <xdr:to>
      <xdr:col>0</xdr:col>
      <xdr:colOff>2791810</xdr:colOff>
      <xdr:row>43</xdr:row>
      <xdr:rowOff>1603087</xdr:rowOff>
    </xdr:to>
    <xdr:pic>
      <xdr:nvPicPr>
        <xdr:cNvPr id="77" name="Picture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14"/>
        <a:stretch>
          <a:fillRect/>
        </a:stretch>
      </xdr:blipFill>
      <xdr:spPr>
        <a:xfrm>
          <a:off x="929148" y="101474478"/>
          <a:ext cx="1862662" cy="824281"/>
        </a:xfrm>
        <a:prstGeom prst="rect">
          <a:avLst/>
        </a:prstGeom>
        <a:ln>
          <a:solidFill>
            <a:sysClr val="windowText" lastClr="000000"/>
          </a:solidFill>
        </a:ln>
      </xdr:spPr>
    </xdr:pic>
    <xdr:clientData/>
  </xdr:twoCellAnchor>
  <xdr:twoCellAnchor>
    <xdr:from>
      <xdr:col>0</xdr:col>
      <xdr:colOff>361293</xdr:colOff>
      <xdr:row>43</xdr:row>
      <xdr:rowOff>794844</xdr:rowOff>
    </xdr:from>
    <xdr:to>
      <xdr:col>0</xdr:col>
      <xdr:colOff>1805082</xdr:colOff>
      <xdr:row>43</xdr:row>
      <xdr:rowOff>960915</xdr:rowOff>
    </xdr:to>
    <xdr:sp macro="" textlink="">
      <xdr:nvSpPr>
        <xdr:cNvPr id="78" name="TextBox 17">
          <a:extLst>
            <a:ext uri="{FF2B5EF4-FFF2-40B4-BE49-F238E27FC236}">
              <a16:creationId xmlns:a16="http://schemas.microsoft.com/office/drawing/2014/main" id="{00000000-0008-0000-0900-00004E000000}"/>
            </a:ext>
          </a:extLst>
        </xdr:cNvPr>
        <xdr:cNvSpPr txBox="1"/>
      </xdr:nvSpPr>
      <xdr:spPr>
        <a:xfrm>
          <a:off x="361293" y="101490516"/>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Ground Floor</a:t>
          </a:r>
        </a:p>
      </xdr:txBody>
    </xdr:sp>
    <xdr:clientData/>
  </xdr:twoCellAnchor>
  <xdr:twoCellAnchor>
    <xdr:from>
      <xdr:col>0</xdr:col>
      <xdr:colOff>387569</xdr:colOff>
      <xdr:row>43</xdr:row>
      <xdr:rowOff>1637593</xdr:rowOff>
    </xdr:from>
    <xdr:to>
      <xdr:col>0</xdr:col>
      <xdr:colOff>1831358</xdr:colOff>
      <xdr:row>43</xdr:row>
      <xdr:rowOff>1803664</xdr:rowOff>
    </xdr:to>
    <xdr:sp macro="" textlink="">
      <xdr:nvSpPr>
        <xdr:cNvPr id="79" name="TextBox 18">
          <a:extLst>
            <a:ext uri="{FF2B5EF4-FFF2-40B4-BE49-F238E27FC236}">
              <a16:creationId xmlns:a16="http://schemas.microsoft.com/office/drawing/2014/main" id="{00000000-0008-0000-0900-00004F000000}"/>
            </a:ext>
          </a:extLst>
        </xdr:cNvPr>
        <xdr:cNvSpPr txBox="1"/>
      </xdr:nvSpPr>
      <xdr:spPr>
        <a:xfrm>
          <a:off x="387569" y="102333265"/>
          <a:ext cx="1443789" cy="166071"/>
        </a:xfrm>
        <a:prstGeom prst="rect">
          <a:avLst/>
        </a:prstGeom>
        <a:noFill/>
      </xdr:spPr>
      <xdr:txBody>
        <a:bodyPr wrap="square" rtlCol="0">
          <a:spAutoFit/>
        </a:bodyPr>
        <a:lstStyle>
          <a:defPPr>
            <a:defRPr lang="en-US"/>
          </a:defPPr>
          <a:lvl1pPr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1pPr>
          <a:lvl2pPr marL="4572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2pPr>
          <a:lvl3pPr marL="9144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3pPr>
          <a:lvl4pPr marL="13716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4pPr>
          <a:lvl5pPr marL="1828800" algn="l" rtl="0" fontAlgn="base">
            <a:spcBef>
              <a:spcPct val="0"/>
            </a:spcBef>
            <a:spcAft>
              <a:spcPct val="0"/>
            </a:spcAft>
            <a:defRPr sz="2400" kern="1200">
              <a:solidFill>
                <a:schemeClr val="tx1"/>
              </a:solidFill>
              <a:latin typeface="Arial" pitchFamily="34" charset="0"/>
              <a:ea typeface="ＭＳ Ｐゴシック" pitchFamily="34" charset="-128"/>
              <a:cs typeface="+mn-cs"/>
            </a:defRPr>
          </a:lvl5pPr>
          <a:lvl6pPr marL="2286000" algn="l" defTabSz="914400" rtl="0" eaLnBrk="1" latinLnBrk="0" hangingPunct="1">
            <a:defRPr sz="2400" kern="1200">
              <a:solidFill>
                <a:schemeClr val="tx1"/>
              </a:solidFill>
              <a:latin typeface="Arial" pitchFamily="34" charset="0"/>
              <a:ea typeface="ＭＳ Ｐゴシック" pitchFamily="34" charset="-128"/>
              <a:cs typeface="+mn-cs"/>
            </a:defRPr>
          </a:lvl6pPr>
          <a:lvl7pPr marL="2743200" algn="l" defTabSz="914400" rtl="0" eaLnBrk="1" latinLnBrk="0" hangingPunct="1">
            <a:defRPr sz="2400" kern="1200">
              <a:solidFill>
                <a:schemeClr val="tx1"/>
              </a:solidFill>
              <a:latin typeface="Arial" pitchFamily="34" charset="0"/>
              <a:ea typeface="ＭＳ Ｐゴシック" pitchFamily="34" charset="-128"/>
              <a:cs typeface="+mn-cs"/>
            </a:defRPr>
          </a:lvl7pPr>
          <a:lvl8pPr marL="3200400" algn="l" defTabSz="914400" rtl="0" eaLnBrk="1" latinLnBrk="0" hangingPunct="1">
            <a:defRPr sz="2400" kern="1200">
              <a:solidFill>
                <a:schemeClr val="tx1"/>
              </a:solidFill>
              <a:latin typeface="Arial" pitchFamily="34" charset="0"/>
              <a:ea typeface="ＭＳ Ｐゴシック" pitchFamily="34" charset="-128"/>
              <a:cs typeface="+mn-cs"/>
            </a:defRPr>
          </a:lvl8pPr>
          <a:lvl9pPr marL="3657600" algn="l" defTabSz="914400" rtl="0" eaLnBrk="1" latinLnBrk="0" hangingPunct="1">
            <a:defRPr sz="2400" kern="1200">
              <a:solidFill>
                <a:schemeClr val="tx1"/>
              </a:solidFill>
              <a:latin typeface="Arial" pitchFamily="34" charset="0"/>
              <a:ea typeface="ＭＳ Ｐゴシック" pitchFamily="34" charset="-128"/>
              <a:cs typeface="+mn-cs"/>
            </a:defRPr>
          </a:lvl9pPr>
        </a:lstStyle>
        <a:p>
          <a:r>
            <a:rPr lang="en-US" sz="500"/>
            <a:t>First Floor</a:t>
          </a:r>
        </a:p>
      </xdr:txBody>
    </xdr:sp>
    <xdr:clientData/>
  </xdr:twoCellAnchor>
  <mc:AlternateContent xmlns:mc="http://schemas.openxmlformats.org/markup-compatibility/2006">
    <mc:Choice xmlns:a14="http://schemas.microsoft.com/office/drawing/2010/main" Requires="a14">
      <xdr:twoCellAnchor editAs="absolute">
        <xdr:from>
          <xdr:col>0</xdr:col>
          <xdr:colOff>0</xdr:colOff>
          <xdr:row>2</xdr:row>
          <xdr:rowOff>31894</xdr:rowOff>
        </xdr:from>
        <xdr:to>
          <xdr:col>0</xdr:col>
          <xdr:colOff>2971799</xdr:colOff>
          <xdr:row>3</xdr:row>
          <xdr:rowOff>1513</xdr:rowOff>
        </xdr:to>
        <xdr:pic>
          <xdr:nvPicPr>
            <xdr:cNvPr id="75" name="Picture 74">
              <a:extLst>
                <a:ext uri="{FF2B5EF4-FFF2-40B4-BE49-F238E27FC236}">
                  <a16:creationId xmlns:a16="http://schemas.microsoft.com/office/drawing/2014/main" id="{00000000-0008-0000-0900-00004B000000}"/>
                </a:ext>
              </a:extLst>
            </xdr:cNvPr>
            <xdr:cNvPicPr>
              <a:picLocks noChangeAspect="1"/>
              <a:extLst>
                <a:ext uri="{84589F7E-364E-4C9E-8A38-B11213B215E9}">
                  <a14:cameraTool cellRange="Image3" spid="_x0000_s50834"/>
                </a:ext>
              </a:extLst>
            </xdr:cNvPicPr>
          </xdr:nvPicPr>
          <xdr:blipFill>
            <a:blip xmlns:r="http://schemas.openxmlformats.org/officeDocument/2006/relationships" r:embed="rId24"/>
            <a:stretch>
              <a:fillRect/>
            </a:stretch>
          </xdr:blipFill>
          <xdr:spPr>
            <a:xfrm>
              <a:off x="0" y="2851294"/>
              <a:ext cx="2971799" cy="1972591"/>
            </a:xfrm>
            <a:prstGeom prst="rect">
              <a:avLst/>
            </a:prstGeom>
            <a:ln>
              <a:noFill/>
            </a:ln>
          </xdr:spPr>
        </xdr:pic>
        <xdr:clientData/>
      </xdr:twoCellAnchor>
    </mc:Choice>
    <mc:Fallback/>
  </mc:AlternateContent>
  <xdr:twoCellAnchor editAs="oneCell">
    <xdr:from>
      <xdr:col>0</xdr:col>
      <xdr:colOff>66100</xdr:colOff>
      <xdr:row>40</xdr:row>
      <xdr:rowOff>1655380</xdr:rowOff>
    </xdr:from>
    <xdr:to>
      <xdr:col>0</xdr:col>
      <xdr:colOff>840007</xdr:colOff>
      <xdr:row>40</xdr:row>
      <xdr:rowOff>2332339</xdr:rowOff>
    </xdr:to>
    <xdr:pic>
      <xdr:nvPicPr>
        <xdr:cNvPr id="87" name="Picture 86">
          <a:extLst>
            <a:ext uri="{FF2B5EF4-FFF2-40B4-BE49-F238E27FC236}">
              <a16:creationId xmlns:a16="http://schemas.microsoft.com/office/drawing/2014/main" id="{00000000-0008-0000-0900-000057000000}"/>
            </a:ext>
          </a:extLst>
        </xdr:cNvPr>
        <xdr:cNvPicPr>
          <a:picLocks noChangeAspect="1"/>
        </xdr:cNvPicPr>
      </xdr:nvPicPr>
      <xdr:blipFill rotWithShape="1">
        <a:blip xmlns:r="http://schemas.openxmlformats.org/officeDocument/2006/relationships" r:embed="rId26"/>
        <a:srcRect t="20438"/>
        <a:stretch/>
      </xdr:blipFill>
      <xdr:spPr>
        <a:xfrm>
          <a:off x="66100" y="94941259"/>
          <a:ext cx="773907" cy="676959"/>
        </a:xfrm>
        <a:prstGeom prst="rect">
          <a:avLst/>
        </a:prstGeom>
      </xdr:spPr>
    </xdr:pic>
    <xdr:clientData/>
  </xdr:twoCellAnchor>
  <xdr:twoCellAnchor editAs="oneCell">
    <xdr:from>
      <xdr:col>0</xdr:col>
      <xdr:colOff>179212</xdr:colOff>
      <xdr:row>41</xdr:row>
      <xdr:rowOff>1677345</xdr:rowOff>
    </xdr:from>
    <xdr:to>
      <xdr:col>0</xdr:col>
      <xdr:colOff>923351</xdr:colOff>
      <xdr:row>41</xdr:row>
      <xdr:rowOff>2393462</xdr:rowOff>
    </xdr:to>
    <xdr:pic>
      <xdr:nvPicPr>
        <xdr:cNvPr id="88" name="Picture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27"/>
        <a:stretch>
          <a:fillRect/>
        </a:stretch>
      </xdr:blipFill>
      <xdr:spPr>
        <a:xfrm>
          <a:off x="179212" y="97433155"/>
          <a:ext cx="744139" cy="71611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0</xdr:col>
          <xdr:colOff>0</xdr:colOff>
          <xdr:row>4</xdr:row>
          <xdr:rowOff>0</xdr:rowOff>
        </xdr:from>
        <xdr:to>
          <xdr:col>0</xdr:col>
          <xdr:colOff>2971799</xdr:colOff>
          <xdr:row>4</xdr:row>
          <xdr:rowOff>1972591</xdr:rowOff>
        </xdr:to>
        <xdr:pic>
          <xdr:nvPicPr>
            <xdr:cNvPr id="80" name="Picture 79">
              <a:extLst>
                <a:ext uri="{FF2B5EF4-FFF2-40B4-BE49-F238E27FC236}">
                  <a16:creationId xmlns:a16="http://schemas.microsoft.com/office/drawing/2014/main" id="{00000000-0008-0000-0900-000050000000}"/>
                </a:ext>
              </a:extLst>
            </xdr:cNvPr>
            <xdr:cNvPicPr>
              <a:picLocks noChangeAspect="1"/>
              <a:extLst>
                <a:ext uri="{84589F7E-364E-4C9E-8A38-B11213B215E9}">
                  <a14:cameraTool cellRange="Image3" spid="_x0000_s50835"/>
                </a:ext>
              </a:extLst>
            </xdr:cNvPicPr>
          </xdr:nvPicPr>
          <xdr:blipFill>
            <a:blip xmlns:r="http://schemas.openxmlformats.org/officeDocument/2006/relationships" r:embed="rId28"/>
            <a:stretch>
              <a:fillRect/>
            </a:stretch>
          </xdr:blipFill>
          <xdr:spPr>
            <a:xfrm>
              <a:off x="0" y="6858000"/>
              <a:ext cx="2971799" cy="1972591"/>
            </a:xfrm>
            <a:prstGeom prst="rect">
              <a:avLst/>
            </a:prstGeom>
            <a:ln>
              <a:noFill/>
            </a:ln>
          </xdr:spPr>
        </xdr:pic>
        <xdr:clientData/>
      </xdr:twoCellAnchor>
    </mc:Choice>
    <mc:Fallback/>
  </mc:AlternateContent>
  <xdr:twoCellAnchor editAs="oneCell">
    <xdr:from>
      <xdr:col>0</xdr:col>
      <xdr:colOff>644074</xdr:colOff>
      <xdr:row>1</xdr:row>
      <xdr:rowOff>699584</xdr:rowOff>
    </xdr:from>
    <xdr:to>
      <xdr:col>0</xdr:col>
      <xdr:colOff>2231572</xdr:colOff>
      <xdr:row>1</xdr:row>
      <xdr:rowOff>2000890</xdr:rowOff>
    </xdr:to>
    <xdr:pic>
      <xdr:nvPicPr>
        <xdr:cNvPr id="6" name="Picture 5" descr="Diagram, engineering drawing&#10;&#10;Description automatically generated">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9"/>
        <a:stretch>
          <a:fillRect/>
        </a:stretch>
      </xdr:blipFill>
      <xdr:spPr>
        <a:xfrm>
          <a:off x="644074" y="1506941"/>
          <a:ext cx="1587498" cy="1301306"/>
        </a:xfrm>
        <a:prstGeom prst="rect">
          <a:avLst/>
        </a:prstGeom>
      </xdr:spPr>
    </xdr:pic>
    <xdr:clientData/>
  </xdr:twoCellAnchor>
  <xdr:twoCellAnchor editAs="oneCell">
    <xdr:from>
      <xdr:col>0</xdr:col>
      <xdr:colOff>0</xdr:colOff>
      <xdr:row>28</xdr:row>
      <xdr:rowOff>982890</xdr:rowOff>
    </xdr:from>
    <xdr:to>
      <xdr:col>1</xdr:col>
      <xdr:colOff>0</xdr:colOff>
      <xdr:row>28</xdr:row>
      <xdr:rowOff>2354084</xdr:rowOff>
    </xdr:to>
    <xdr:pic>
      <xdr:nvPicPr>
        <xdr:cNvPr id="17" name="Picture 16" descr="Diagram&#10;&#10;Description automatically generated">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30"/>
        <a:stretch>
          <a:fillRect/>
        </a:stretch>
      </xdr:blipFill>
      <xdr:spPr>
        <a:xfrm>
          <a:off x="0" y="66501283"/>
          <a:ext cx="3143250" cy="1371194"/>
        </a:xfrm>
        <a:prstGeom prst="rect">
          <a:avLst/>
        </a:prstGeom>
      </xdr:spPr>
    </xdr:pic>
    <xdr:clientData/>
  </xdr:twoCellAnchor>
  <xdr:twoCellAnchor editAs="oneCell">
    <xdr:from>
      <xdr:col>0</xdr:col>
      <xdr:colOff>0</xdr:colOff>
      <xdr:row>17</xdr:row>
      <xdr:rowOff>1079500</xdr:rowOff>
    </xdr:from>
    <xdr:to>
      <xdr:col>0</xdr:col>
      <xdr:colOff>3001696</xdr:colOff>
      <xdr:row>17</xdr:row>
      <xdr:rowOff>2444750</xdr:rowOff>
    </xdr:to>
    <xdr:pic>
      <xdr:nvPicPr>
        <xdr:cNvPr id="4" name="Picture 3" descr="Chart, engineering drawing, box and whisker chart&#10;&#10;Description automatically generated">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1"/>
        <a:stretch>
          <a:fillRect/>
        </a:stretch>
      </xdr:blipFill>
      <xdr:spPr>
        <a:xfrm>
          <a:off x="0" y="39544625"/>
          <a:ext cx="3001696" cy="1365250"/>
        </a:xfrm>
        <a:prstGeom prst="rect">
          <a:avLst/>
        </a:prstGeom>
      </xdr:spPr>
    </xdr:pic>
    <xdr:clientData/>
  </xdr:twoCellAnchor>
  <xdr:twoCellAnchor editAs="oneCell">
    <xdr:from>
      <xdr:col>0</xdr:col>
      <xdr:colOff>71439</xdr:colOff>
      <xdr:row>16</xdr:row>
      <xdr:rowOff>1222374</xdr:rowOff>
    </xdr:from>
    <xdr:to>
      <xdr:col>0</xdr:col>
      <xdr:colOff>2934514</xdr:colOff>
      <xdr:row>16</xdr:row>
      <xdr:rowOff>2433030</xdr:rowOff>
    </xdr:to>
    <xdr:pic>
      <xdr:nvPicPr>
        <xdr:cNvPr id="21" name="Picture 20" descr="Diagram, engineering drawing&#10;&#10;Description automatically generated">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32"/>
        <a:stretch>
          <a:fillRect/>
        </a:stretch>
      </xdr:blipFill>
      <xdr:spPr>
        <a:xfrm>
          <a:off x="71439" y="37218937"/>
          <a:ext cx="2863075" cy="1210656"/>
        </a:xfrm>
        <a:prstGeom prst="rect">
          <a:avLst/>
        </a:prstGeom>
      </xdr:spPr>
    </xdr:pic>
    <xdr:clientData/>
  </xdr:twoCellAnchor>
  <xdr:twoCellAnchor editAs="oneCell">
    <xdr:from>
      <xdr:col>0</xdr:col>
      <xdr:colOff>44450</xdr:colOff>
      <xdr:row>20</xdr:row>
      <xdr:rowOff>1054100</xdr:rowOff>
    </xdr:from>
    <xdr:to>
      <xdr:col>0</xdr:col>
      <xdr:colOff>3003550</xdr:colOff>
      <xdr:row>20</xdr:row>
      <xdr:rowOff>2373146</xdr:rowOff>
    </xdr:to>
    <xdr:pic>
      <xdr:nvPicPr>
        <xdr:cNvPr id="22" name="Picture 21" descr="Diagram, engineering drawing&#10;&#10;Description automatically generated">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33"/>
        <a:stretch>
          <a:fillRect/>
        </a:stretch>
      </xdr:blipFill>
      <xdr:spPr>
        <a:xfrm>
          <a:off x="44450" y="46970950"/>
          <a:ext cx="2959100" cy="1319046"/>
        </a:xfrm>
        <a:prstGeom prst="rect">
          <a:avLst/>
        </a:prstGeom>
      </xdr:spPr>
    </xdr:pic>
    <xdr:clientData/>
  </xdr:twoCellAnchor>
  <xdr:twoCellAnchor editAs="oneCell">
    <xdr:from>
      <xdr:col>0</xdr:col>
      <xdr:colOff>6350</xdr:colOff>
      <xdr:row>19</xdr:row>
      <xdr:rowOff>1098550</xdr:rowOff>
    </xdr:from>
    <xdr:to>
      <xdr:col>0</xdr:col>
      <xdr:colOff>3009900</xdr:colOff>
      <xdr:row>19</xdr:row>
      <xdr:rowOff>2429794</xdr:rowOff>
    </xdr:to>
    <xdr:pic>
      <xdr:nvPicPr>
        <xdr:cNvPr id="24" name="Picture 23" descr="A drawing of a house&#10;&#10;Description automatically generated with medium confidence">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34"/>
        <a:stretch>
          <a:fillRect/>
        </a:stretch>
      </xdr:blipFill>
      <xdr:spPr>
        <a:xfrm>
          <a:off x="6350" y="44545250"/>
          <a:ext cx="3003550" cy="1331244"/>
        </a:xfrm>
        <a:prstGeom prst="rect">
          <a:avLst/>
        </a:prstGeom>
      </xdr:spPr>
    </xdr:pic>
    <xdr:clientData/>
  </xdr:twoCellAnchor>
  <xdr:twoCellAnchor editAs="oneCell">
    <xdr:from>
      <xdr:col>0</xdr:col>
      <xdr:colOff>0</xdr:colOff>
      <xdr:row>18</xdr:row>
      <xdr:rowOff>1028700</xdr:rowOff>
    </xdr:from>
    <xdr:to>
      <xdr:col>0</xdr:col>
      <xdr:colOff>3003550</xdr:colOff>
      <xdr:row>18</xdr:row>
      <xdr:rowOff>2359944</xdr:rowOff>
    </xdr:to>
    <xdr:pic>
      <xdr:nvPicPr>
        <xdr:cNvPr id="81" name="Picture 80" descr="A drawing of a house&#10;&#10;Description automatically generated with medium confidence">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34"/>
        <a:stretch>
          <a:fillRect/>
        </a:stretch>
      </xdr:blipFill>
      <xdr:spPr>
        <a:xfrm>
          <a:off x="0" y="42005250"/>
          <a:ext cx="3003550" cy="1331244"/>
        </a:xfrm>
        <a:prstGeom prst="rect">
          <a:avLst/>
        </a:prstGeom>
      </xdr:spPr>
    </xdr:pic>
    <xdr:clientData/>
  </xdr:twoCellAnchor>
  <xdr:twoCellAnchor editAs="oneCell">
    <xdr:from>
      <xdr:col>0</xdr:col>
      <xdr:colOff>0</xdr:colOff>
      <xdr:row>22</xdr:row>
      <xdr:rowOff>1130300</xdr:rowOff>
    </xdr:from>
    <xdr:to>
      <xdr:col>0</xdr:col>
      <xdr:colOff>3022600</xdr:colOff>
      <xdr:row>22</xdr:row>
      <xdr:rowOff>2414899</xdr:rowOff>
    </xdr:to>
    <xdr:pic>
      <xdr:nvPicPr>
        <xdr:cNvPr id="82" name="Picture 81" descr="Diagram, engineering drawing&#10;&#10;Description automatically generated">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35"/>
        <a:stretch>
          <a:fillRect/>
        </a:stretch>
      </xdr:blipFill>
      <xdr:spPr>
        <a:xfrm>
          <a:off x="0" y="51987450"/>
          <a:ext cx="3022600" cy="1284599"/>
        </a:xfrm>
        <a:prstGeom prst="rect">
          <a:avLst/>
        </a:prstGeom>
      </xdr:spPr>
    </xdr:pic>
    <xdr:clientData/>
  </xdr:twoCellAnchor>
  <xdr:twoCellAnchor editAs="oneCell">
    <xdr:from>
      <xdr:col>0</xdr:col>
      <xdr:colOff>47625</xdr:colOff>
      <xdr:row>21</xdr:row>
      <xdr:rowOff>1204231</xdr:rowOff>
    </xdr:from>
    <xdr:to>
      <xdr:col>0</xdr:col>
      <xdr:colOff>3011694</xdr:colOff>
      <xdr:row>21</xdr:row>
      <xdr:rowOff>2412052</xdr:rowOff>
    </xdr:to>
    <xdr:pic>
      <xdr:nvPicPr>
        <xdr:cNvPr id="84" name="Picture 83" descr="Diagram, engineering drawing">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36"/>
        <a:stretch>
          <a:fillRect/>
        </a:stretch>
      </xdr:blipFill>
      <xdr:spPr>
        <a:xfrm>
          <a:off x="47625" y="49557213"/>
          <a:ext cx="2964069" cy="1207821"/>
        </a:xfrm>
        <a:prstGeom prst="rect">
          <a:avLst/>
        </a:prstGeom>
      </xdr:spPr>
    </xdr:pic>
    <xdr:clientData/>
  </xdr:twoCellAnchor>
  <xdr:twoCellAnchor editAs="oneCell">
    <xdr:from>
      <xdr:col>0</xdr:col>
      <xdr:colOff>7327</xdr:colOff>
      <xdr:row>23</xdr:row>
      <xdr:rowOff>1033096</xdr:rowOff>
    </xdr:from>
    <xdr:to>
      <xdr:col>0</xdr:col>
      <xdr:colOff>3028436</xdr:colOff>
      <xdr:row>23</xdr:row>
      <xdr:rowOff>2426902</xdr:rowOff>
    </xdr:to>
    <xdr:pic>
      <xdr:nvPicPr>
        <xdr:cNvPr id="85" name="Picture 84" descr="Diagram, engineering drawing&#10;&#10;Description automatically generated">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37"/>
        <a:stretch>
          <a:fillRect/>
        </a:stretch>
      </xdr:blipFill>
      <xdr:spPr>
        <a:xfrm>
          <a:off x="7327" y="54321808"/>
          <a:ext cx="3021109" cy="1393806"/>
        </a:xfrm>
        <a:prstGeom prst="rect">
          <a:avLst/>
        </a:prstGeom>
      </xdr:spPr>
    </xdr:pic>
    <xdr:clientData/>
  </xdr:twoCellAnchor>
  <xdr:twoCellAnchor editAs="oneCell">
    <xdr:from>
      <xdr:col>0</xdr:col>
      <xdr:colOff>7327</xdr:colOff>
      <xdr:row>25</xdr:row>
      <xdr:rowOff>1121019</xdr:rowOff>
    </xdr:from>
    <xdr:to>
      <xdr:col>0</xdr:col>
      <xdr:colOff>3018692</xdr:colOff>
      <xdr:row>25</xdr:row>
      <xdr:rowOff>2417292</xdr:rowOff>
    </xdr:to>
    <xdr:pic>
      <xdr:nvPicPr>
        <xdr:cNvPr id="86" name="Picture 85" descr="Diagram, engineering drawing&#10;&#10;Description automatically generated">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38"/>
        <a:stretch>
          <a:fillRect/>
        </a:stretch>
      </xdr:blipFill>
      <xdr:spPr>
        <a:xfrm>
          <a:off x="7327" y="59348077"/>
          <a:ext cx="3011365" cy="1296273"/>
        </a:xfrm>
        <a:prstGeom prst="rect">
          <a:avLst/>
        </a:prstGeom>
      </xdr:spPr>
    </xdr:pic>
    <xdr:clientData/>
  </xdr:twoCellAnchor>
  <xdr:twoCellAnchor editAs="oneCell">
    <xdr:from>
      <xdr:col>0</xdr:col>
      <xdr:colOff>0</xdr:colOff>
      <xdr:row>26</xdr:row>
      <xdr:rowOff>879230</xdr:rowOff>
    </xdr:from>
    <xdr:to>
      <xdr:col>1</xdr:col>
      <xdr:colOff>0</xdr:colOff>
      <xdr:row>26</xdr:row>
      <xdr:rowOff>2385113</xdr:rowOff>
    </xdr:to>
    <xdr:pic>
      <xdr:nvPicPr>
        <xdr:cNvPr id="89" name="Picture 88" descr="Diagram, engineering drawing&#10;&#10;Description automatically generated">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39"/>
        <a:stretch>
          <a:fillRect/>
        </a:stretch>
      </xdr:blipFill>
      <xdr:spPr>
        <a:xfrm>
          <a:off x="0" y="61575461"/>
          <a:ext cx="3048000" cy="1505883"/>
        </a:xfrm>
        <a:prstGeom prst="rect">
          <a:avLst/>
        </a:prstGeom>
      </xdr:spPr>
    </xdr:pic>
    <xdr:clientData/>
  </xdr:twoCellAnchor>
  <xdr:twoCellAnchor editAs="oneCell">
    <xdr:from>
      <xdr:col>0</xdr:col>
      <xdr:colOff>0</xdr:colOff>
      <xdr:row>27</xdr:row>
      <xdr:rowOff>1062402</xdr:rowOff>
    </xdr:from>
    <xdr:to>
      <xdr:col>0</xdr:col>
      <xdr:colOff>3008341</xdr:colOff>
      <xdr:row>27</xdr:row>
      <xdr:rowOff>2437543</xdr:rowOff>
    </xdr:to>
    <xdr:pic>
      <xdr:nvPicPr>
        <xdr:cNvPr id="90" name="Picture 89" descr="Diagram, engineering drawing&#10;&#10;Description automatically generated">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40"/>
        <a:stretch>
          <a:fillRect/>
        </a:stretch>
      </xdr:blipFill>
      <xdr:spPr>
        <a:xfrm>
          <a:off x="0" y="64227806"/>
          <a:ext cx="3008341" cy="1375141"/>
        </a:xfrm>
        <a:prstGeom prst="rect">
          <a:avLst/>
        </a:prstGeom>
      </xdr:spPr>
    </xdr:pic>
    <xdr:clientData/>
  </xdr:twoCellAnchor>
  <xdr:twoCellAnchor editAs="oneCell">
    <xdr:from>
      <xdr:col>0</xdr:col>
      <xdr:colOff>1</xdr:colOff>
      <xdr:row>31</xdr:row>
      <xdr:rowOff>926521</xdr:rowOff>
    </xdr:from>
    <xdr:to>
      <xdr:col>0</xdr:col>
      <xdr:colOff>3018693</xdr:colOff>
      <xdr:row>31</xdr:row>
      <xdr:rowOff>2440118</xdr:rowOff>
    </xdr:to>
    <xdr:pic>
      <xdr:nvPicPr>
        <xdr:cNvPr id="91" name="Picture 90" descr="Diagram, engineering drawing&#10;&#10;Description automatically generated">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41"/>
        <a:stretch>
          <a:fillRect/>
        </a:stretch>
      </xdr:blipFill>
      <xdr:spPr>
        <a:xfrm>
          <a:off x="1" y="73939976"/>
          <a:ext cx="3018692" cy="1513597"/>
        </a:xfrm>
        <a:prstGeom prst="rect">
          <a:avLst/>
        </a:prstGeom>
      </xdr:spPr>
    </xdr:pic>
    <xdr:clientData/>
  </xdr:twoCellAnchor>
  <xdr:twoCellAnchor editAs="oneCell">
    <xdr:from>
      <xdr:col>0</xdr:col>
      <xdr:colOff>520215</xdr:colOff>
      <xdr:row>30</xdr:row>
      <xdr:rowOff>710127</xdr:rowOff>
    </xdr:from>
    <xdr:to>
      <xdr:col>0</xdr:col>
      <xdr:colOff>2623038</xdr:colOff>
      <xdr:row>30</xdr:row>
      <xdr:rowOff>1557169</xdr:rowOff>
    </xdr:to>
    <xdr:pic>
      <xdr:nvPicPr>
        <xdr:cNvPr id="93" name="Picture 92" descr="Diagram&#10;&#10;Description automatically generated">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42"/>
        <a:stretch>
          <a:fillRect/>
        </a:stretch>
      </xdr:blipFill>
      <xdr:spPr>
        <a:xfrm>
          <a:off x="520215" y="71283050"/>
          <a:ext cx="2102823" cy="847042"/>
        </a:xfrm>
        <a:prstGeom prst="rect">
          <a:avLst/>
        </a:prstGeom>
      </xdr:spPr>
    </xdr:pic>
    <xdr:clientData/>
  </xdr:twoCellAnchor>
  <xdr:twoCellAnchor editAs="oneCell">
    <xdr:from>
      <xdr:col>0</xdr:col>
      <xdr:colOff>498233</xdr:colOff>
      <xdr:row>30</xdr:row>
      <xdr:rowOff>1567963</xdr:rowOff>
    </xdr:from>
    <xdr:to>
      <xdr:col>0</xdr:col>
      <xdr:colOff>2645019</xdr:colOff>
      <xdr:row>30</xdr:row>
      <xdr:rowOff>2459486</xdr:rowOff>
    </xdr:to>
    <xdr:pic>
      <xdr:nvPicPr>
        <xdr:cNvPr id="94" name="Picture 93" descr="Diagram&#10;&#10;Description automatically generated">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43"/>
        <a:stretch>
          <a:fillRect/>
        </a:stretch>
      </xdr:blipFill>
      <xdr:spPr>
        <a:xfrm>
          <a:off x="498233" y="72140886"/>
          <a:ext cx="2146786" cy="891523"/>
        </a:xfrm>
        <a:prstGeom prst="rect">
          <a:avLst/>
        </a:prstGeom>
      </xdr:spPr>
    </xdr:pic>
    <xdr:clientData/>
  </xdr:twoCellAnchor>
  <xdr:twoCellAnchor editAs="oneCell">
    <xdr:from>
      <xdr:col>0</xdr:col>
      <xdr:colOff>586157</xdr:colOff>
      <xdr:row>33</xdr:row>
      <xdr:rowOff>710713</xdr:rowOff>
    </xdr:from>
    <xdr:to>
      <xdr:col>0</xdr:col>
      <xdr:colOff>2527789</xdr:colOff>
      <xdr:row>33</xdr:row>
      <xdr:rowOff>1575537</xdr:rowOff>
    </xdr:to>
    <xdr:pic>
      <xdr:nvPicPr>
        <xdr:cNvPr id="95" name="Picture 94" descr="Diagram, engineering drawing&#10;&#10;Description automatically generated">
          <a:extLst>
            <a:ext uri="{FF2B5EF4-FFF2-40B4-BE49-F238E27FC236}">
              <a16:creationId xmlns:a16="http://schemas.microsoft.com/office/drawing/2014/main" id="{00000000-0008-0000-0900-00005F000000}"/>
            </a:ext>
          </a:extLst>
        </xdr:cNvPr>
        <xdr:cNvPicPr>
          <a:picLocks noChangeAspect="1"/>
        </xdr:cNvPicPr>
      </xdr:nvPicPr>
      <xdr:blipFill rotWithShape="1">
        <a:blip xmlns:r="http://schemas.openxmlformats.org/officeDocument/2006/relationships" r:embed="rId44"/>
        <a:srcRect t="4004"/>
        <a:stretch/>
      </xdr:blipFill>
      <xdr:spPr>
        <a:xfrm>
          <a:off x="586157" y="78691155"/>
          <a:ext cx="1941632" cy="864824"/>
        </a:xfrm>
        <a:prstGeom prst="rect">
          <a:avLst/>
        </a:prstGeom>
      </xdr:spPr>
    </xdr:pic>
    <xdr:clientData/>
  </xdr:twoCellAnchor>
  <xdr:twoCellAnchor editAs="oneCell">
    <xdr:from>
      <xdr:col>0</xdr:col>
      <xdr:colOff>564174</xdr:colOff>
      <xdr:row>33</xdr:row>
      <xdr:rowOff>1574798</xdr:rowOff>
    </xdr:from>
    <xdr:to>
      <xdr:col>0</xdr:col>
      <xdr:colOff>2483827</xdr:colOff>
      <xdr:row>33</xdr:row>
      <xdr:rowOff>2417885</xdr:rowOff>
    </xdr:to>
    <xdr:pic>
      <xdr:nvPicPr>
        <xdr:cNvPr id="96" name="Picture 95" descr="Diagram, engineering drawing&#10;&#10;Description automatically generated">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45"/>
        <a:stretch>
          <a:fillRect/>
        </a:stretch>
      </xdr:blipFill>
      <xdr:spPr>
        <a:xfrm>
          <a:off x="564174" y="79555240"/>
          <a:ext cx="1919653" cy="843087"/>
        </a:xfrm>
        <a:prstGeom prst="rect">
          <a:avLst/>
        </a:prstGeom>
      </xdr:spPr>
    </xdr:pic>
    <xdr:clientData/>
  </xdr:twoCellAnchor>
  <xdr:twoCellAnchor editAs="oneCell">
    <xdr:from>
      <xdr:col>0</xdr:col>
      <xdr:colOff>36637</xdr:colOff>
      <xdr:row>34</xdr:row>
      <xdr:rowOff>1179635</xdr:rowOff>
    </xdr:from>
    <xdr:to>
      <xdr:col>0</xdr:col>
      <xdr:colOff>3018693</xdr:colOff>
      <xdr:row>34</xdr:row>
      <xdr:rowOff>2454519</xdr:rowOff>
    </xdr:to>
    <xdr:pic>
      <xdr:nvPicPr>
        <xdr:cNvPr id="97" name="Picture 96" descr="Diagram, engineering drawing&#10;&#10;Description automatically generated">
          <a:extLst>
            <a:ext uri="{FF2B5EF4-FFF2-40B4-BE49-F238E27FC236}">
              <a16:creationId xmlns:a16="http://schemas.microsoft.com/office/drawing/2014/main" id="{00000000-0008-0000-0900-000061000000}"/>
            </a:ext>
          </a:extLst>
        </xdr:cNvPr>
        <xdr:cNvPicPr>
          <a:picLocks noChangeAspect="1"/>
        </xdr:cNvPicPr>
      </xdr:nvPicPr>
      <xdr:blipFill rotWithShape="1">
        <a:blip xmlns:r="http://schemas.openxmlformats.org/officeDocument/2006/relationships" r:embed="rId46"/>
        <a:srcRect b="3674"/>
        <a:stretch/>
      </xdr:blipFill>
      <xdr:spPr>
        <a:xfrm>
          <a:off x="36637" y="81629250"/>
          <a:ext cx="2982056" cy="1274884"/>
        </a:xfrm>
        <a:prstGeom prst="rect">
          <a:avLst/>
        </a:prstGeom>
      </xdr:spPr>
    </xdr:pic>
    <xdr:clientData/>
  </xdr:twoCellAnchor>
  <xdr:twoCellAnchor editAs="oneCell">
    <xdr:from>
      <xdr:col>0</xdr:col>
      <xdr:colOff>1</xdr:colOff>
      <xdr:row>32</xdr:row>
      <xdr:rowOff>1020482</xdr:rowOff>
    </xdr:from>
    <xdr:to>
      <xdr:col>0</xdr:col>
      <xdr:colOff>3033347</xdr:colOff>
      <xdr:row>33</xdr:row>
      <xdr:rowOff>1630</xdr:rowOff>
    </xdr:to>
    <xdr:pic>
      <xdr:nvPicPr>
        <xdr:cNvPr id="99" name="Picture 98" descr="Diagram, engineering drawing&#10;&#10;Description automatically generated">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47"/>
        <a:stretch>
          <a:fillRect/>
        </a:stretch>
      </xdr:blipFill>
      <xdr:spPr>
        <a:xfrm>
          <a:off x="1" y="76531751"/>
          <a:ext cx="3033346" cy="1450321"/>
        </a:xfrm>
        <a:prstGeom prst="rect">
          <a:avLst/>
        </a:prstGeom>
      </xdr:spPr>
    </xdr:pic>
    <xdr:clientData/>
  </xdr:twoCellAnchor>
  <xdr:twoCellAnchor editAs="oneCell">
    <xdr:from>
      <xdr:col>0</xdr:col>
      <xdr:colOff>1</xdr:colOff>
      <xdr:row>35</xdr:row>
      <xdr:rowOff>600808</xdr:rowOff>
    </xdr:from>
    <xdr:to>
      <xdr:col>0</xdr:col>
      <xdr:colOff>2992124</xdr:colOff>
      <xdr:row>35</xdr:row>
      <xdr:rowOff>2465770</xdr:rowOff>
    </xdr:to>
    <xdr:pic>
      <xdr:nvPicPr>
        <xdr:cNvPr id="100" name="Picture 99" descr="Diagram, engineering drawing&#10;&#10;Description automatically generated">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48"/>
        <a:stretch>
          <a:fillRect/>
        </a:stretch>
      </xdr:blipFill>
      <xdr:spPr>
        <a:xfrm>
          <a:off x="1" y="83519596"/>
          <a:ext cx="2992123" cy="1864962"/>
        </a:xfrm>
        <a:prstGeom prst="rect">
          <a:avLst/>
        </a:prstGeom>
      </xdr:spPr>
    </xdr:pic>
    <xdr:clientData/>
  </xdr:twoCellAnchor>
  <xdr:twoCellAnchor editAs="oneCell">
    <xdr:from>
      <xdr:col>0</xdr:col>
      <xdr:colOff>754672</xdr:colOff>
      <xdr:row>44</xdr:row>
      <xdr:rowOff>662831</xdr:rowOff>
    </xdr:from>
    <xdr:to>
      <xdr:col>0</xdr:col>
      <xdr:colOff>2601057</xdr:colOff>
      <xdr:row>45</xdr:row>
      <xdr:rowOff>107</xdr:rowOff>
    </xdr:to>
    <xdr:pic>
      <xdr:nvPicPr>
        <xdr:cNvPr id="101" name="Picture 100" descr="Diagram, engineering drawing&#10;&#10;Description automatically generated">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49"/>
        <a:stretch>
          <a:fillRect/>
        </a:stretch>
      </xdr:blipFill>
      <xdr:spPr>
        <a:xfrm>
          <a:off x="754672" y="105758217"/>
          <a:ext cx="1846385" cy="1804251"/>
        </a:xfrm>
        <a:prstGeom prst="rect">
          <a:avLst/>
        </a:prstGeom>
      </xdr:spPr>
    </xdr:pic>
    <xdr:clientData/>
  </xdr:twoCellAnchor>
  <xdr:twoCellAnchor editAs="oneCell">
    <xdr:from>
      <xdr:col>0</xdr:col>
      <xdr:colOff>259775</xdr:colOff>
      <xdr:row>45</xdr:row>
      <xdr:rowOff>1107506</xdr:rowOff>
    </xdr:from>
    <xdr:to>
      <xdr:col>0</xdr:col>
      <xdr:colOff>2770910</xdr:colOff>
      <xdr:row>45</xdr:row>
      <xdr:rowOff>3092564</xdr:rowOff>
    </xdr:to>
    <xdr:pic>
      <xdr:nvPicPr>
        <xdr:cNvPr id="102" name="Picture 101" descr="Diagram&#10;&#10;Description automatically generated">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50"/>
        <a:stretch>
          <a:fillRect/>
        </a:stretch>
      </xdr:blipFill>
      <xdr:spPr>
        <a:xfrm rot="16200000">
          <a:off x="522814" y="108372192"/>
          <a:ext cx="1985058" cy="25111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ropdownsDN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DN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40"/>
  <sheetViews>
    <sheetView showGridLines="0" topLeftCell="A19" zoomScaleNormal="100" workbookViewId="0">
      <selection activeCell="G42" sqref="G42"/>
    </sheetView>
  </sheetViews>
  <sheetFormatPr defaultRowHeight="14.4" x14ac:dyDescent="0.55000000000000004"/>
  <sheetData>
    <row r="40" spans="1:1" x14ac:dyDescent="0.55000000000000004">
      <c r="A40" t="s">
        <v>400</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Q46"/>
  <sheetViews>
    <sheetView showGridLines="0" zoomScaleNormal="100" workbookViewId="0">
      <selection activeCell="F22" sqref="F22"/>
    </sheetView>
  </sheetViews>
  <sheetFormatPr defaultRowHeight="194.25" customHeight="1" x14ac:dyDescent="0.55000000000000004"/>
  <cols>
    <col min="1" max="1" width="45.68359375" style="3" customWidth="1"/>
    <col min="2" max="2" width="14.15625" bestFit="1" customWidth="1"/>
    <col min="3" max="3" width="40.578125" bestFit="1" customWidth="1"/>
    <col min="4" max="4" width="21.26171875" customWidth="1"/>
    <col min="5" max="5" width="31" customWidth="1"/>
    <col min="6" max="6" width="26.41796875" bestFit="1" customWidth="1"/>
    <col min="7" max="7" width="45.26171875" bestFit="1" customWidth="1"/>
    <col min="8" max="8" width="17.26171875" bestFit="1" customWidth="1"/>
    <col min="9" max="9" width="12.41796875" bestFit="1" customWidth="1"/>
    <col min="10" max="10" width="11.578125" bestFit="1" customWidth="1"/>
    <col min="11" max="11" width="10.83984375" bestFit="1" customWidth="1"/>
    <col min="12" max="12" width="9.83984375" bestFit="1" customWidth="1"/>
    <col min="13" max="13" width="11.15625" bestFit="1" customWidth="1"/>
    <col min="14" max="14" width="13.68359375" bestFit="1" customWidth="1"/>
  </cols>
  <sheetData>
    <row r="1" spans="2:14" ht="63.75" customHeight="1" x14ac:dyDescent="0.55000000000000004">
      <c r="B1" s="11" t="s">
        <v>7</v>
      </c>
      <c r="C1" s="15" t="s">
        <v>2</v>
      </c>
      <c r="D1" s="11" t="s">
        <v>8</v>
      </c>
      <c r="E1" s="11" t="s">
        <v>34</v>
      </c>
      <c r="F1" s="11" t="s">
        <v>24</v>
      </c>
      <c r="G1" s="11" t="s">
        <v>1</v>
      </c>
      <c r="H1" s="11" t="s">
        <v>0</v>
      </c>
      <c r="I1" s="11" t="s">
        <v>33</v>
      </c>
      <c r="J1" s="11" t="s">
        <v>2</v>
      </c>
      <c r="K1" s="14" t="s">
        <v>9</v>
      </c>
      <c r="L1" s="11" t="s">
        <v>256</v>
      </c>
      <c r="M1" s="52" t="s">
        <v>32</v>
      </c>
      <c r="N1" s="52" t="s">
        <v>251</v>
      </c>
    </row>
    <row r="2" spans="2:14" ht="158.25" customHeight="1" x14ac:dyDescent="0.55000000000000004">
      <c r="B2" s="48">
        <v>2</v>
      </c>
      <c r="C2" s="49" t="s">
        <v>25</v>
      </c>
      <c r="D2" s="50"/>
      <c r="E2" s="49"/>
      <c r="F2" s="49"/>
      <c r="G2" s="50" t="s">
        <v>247</v>
      </c>
      <c r="H2" s="49"/>
      <c r="I2" s="49"/>
      <c r="J2" s="49"/>
      <c r="K2" s="49">
        <v>35.67</v>
      </c>
      <c r="L2" s="47">
        <v>0</v>
      </c>
    </row>
    <row r="3" spans="2:14" ht="158.25" customHeight="1" x14ac:dyDescent="0.55000000000000004">
      <c r="B3" s="48">
        <v>3</v>
      </c>
      <c r="C3" s="50" t="s">
        <v>95</v>
      </c>
      <c r="D3" s="50"/>
      <c r="E3" s="49"/>
      <c r="F3" s="49"/>
      <c r="G3" s="50" t="s">
        <v>247</v>
      </c>
      <c r="H3" s="49"/>
      <c r="I3" s="49"/>
      <c r="J3" s="49"/>
      <c r="K3" s="49">
        <v>442.5</v>
      </c>
      <c r="L3" s="47">
        <v>0</v>
      </c>
    </row>
    <row r="4" spans="2:14" ht="158.25" customHeight="1" x14ac:dyDescent="0.55000000000000004">
      <c r="B4" s="48">
        <v>4</v>
      </c>
      <c r="C4" s="50" t="s">
        <v>261</v>
      </c>
      <c r="D4" s="50"/>
      <c r="E4" s="49"/>
      <c r="F4" s="49"/>
      <c r="G4" s="50" t="s">
        <v>247</v>
      </c>
      <c r="H4" s="49"/>
      <c r="I4" s="49"/>
      <c r="J4" s="49"/>
      <c r="K4" s="49">
        <v>442.5</v>
      </c>
      <c r="L4" s="47">
        <v>0</v>
      </c>
    </row>
    <row r="5" spans="2:14" ht="158.25" customHeight="1" x14ac:dyDescent="0.55000000000000004">
      <c r="B5" s="48">
        <v>5</v>
      </c>
      <c r="C5" s="50" t="s">
        <v>117</v>
      </c>
      <c r="D5" s="50"/>
      <c r="E5" s="49"/>
      <c r="F5" s="49"/>
      <c r="G5" s="50" t="s">
        <v>247</v>
      </c>
      <c r="H5" s="49"/>
      <c r="I5" s="49"/>
      <c r="J5" s="49"/>
      <c r="K5" s="49">
        <v>390</v>
      </c>
      <c r="L5" s="47">
        <v>0</v>
      </c>
    </row>
    <row r="6" spans="2:14" ht="194.25" customHeight="1" thickBot="1" x14ac:dyDescent="0.6">
      <c r="B6" s="48">
        <v>6</v>
      </c>
      <c r="C6" s="84" t="s">
        <v>25</v>
      </c>
      <c r="D6" s="13" t="s">
        <v>93</v>
      </c>
      <c r="E6" s="18" t="s">
        <v>241</v>
      </c>
      <c r="G6" s="13" t="s">
        <v>96</v>
      </c>
      <c r="K6">
        <v>35.67</v>
      </c>
      <c r="L6" s="51">
        <f>IF(DropdownsDNT!$E$48=1, M6, N6)</f>
        <v>3900</v>
      </c>
      <c r="M6">
        <v>3000</v>
      </c>
      <c r="N6">
        <f>M6*1.3</f>
        <v>3900</v>
      </c>
    </row>
    <row r="7" spans="2:14" ht="194.25" customHeight="1" thickTop="1" thickBot="1" x14ac:dyDescent="0.6">
      <c r="B7" s="48">
        <v>7</v>
      </c>
      <c r="C7" s="1" t="s">
        <v>25</v>
      </c>
      <c r="D7" s="13" t="s">
        <v>41</v>
      </c>
      <c r="E7" s="18" t="s">
        <v>122</v>
      </c>
      <c r="G7" s="13" t="s">
        <v>97</v>
      </c>
      <c r="K7">
        <v>35.67</v>
      </c>
      <c r="L7" s="51">
        <f>IF(DropdownsDNT!$E$48=1, M7, N7)</f>
        <v>3900</v>
      </c>
      <c r="M7">
        <v>3000</v>
      </c>
      <c r="N7">
        <f t="shared" ref="N7:N16" si="0">M7*1.3</f>
        <v>3900</v>
      </c>
    </row>
    <row r="8" spans="2:14" ht="194.25" customHeight="1" thickTop="1" thickBot="1" x14ac:dyDescent="0.6">
      <c r="B8" s="48">
        <v>8</v>
      </c>
      <c r="C8" s="1" t="s">
        <v>25</v>
      </c>
      <c r="D8" s="88" t="s">
        <v>42</v>
      </c>
      <c r="E8" s="18" t="s">
        <v>122</v>
      </c>
      <c r="G8" s="13" t="s">
        <v>98</v>
      </c>
      <c r="K8">
        <v>35.67</v>
      </c>
      <c r="L8" s="51">
        <f>IF(DropdownsDNT!$E$48=1, M8, N8)</f>
        <v>6500</v>
      </c>
      <c r="M8">
        <v>5000</v>
      </c>
      <c r="N8">
        <f t="shared" si="0"/>
        <v>6500</v>
      </c>
    </row>
    <row r="9" spans="2:14" ht="194.25" customHeight="1" thickTop="1" thickBot="1" x14ac:dyDescent="0.6">
      <c r="B9" s="48">
        <v>9</v>
      </c>
      <c r="C9" s="1" t="s">
        <v>25</v>
      </c>
      <c r="D9" s="87" t="s">
        <v>44</v>
      </c>
      <c r="E9" s="18" t="s">
        <v>122</v>
      </c>
      <c r="G9" s="13" t="s">
        <v>87</v>
      </c>
      <c r="K9">
        <v>35.67</v>
      </c>
      <c r="L9" s="51">
        <f>IF(DropdownsDNT!$E$48=1, M9, N9)</f>
        <v>5850</v>
      </c>
      <c r="M9">
        <v>4500</v>
      </c>
      <c r="N9">
        <f t="shared" si="0"/>
        <v>5850</v>
      </c>
    </row>
    <row r="10" spans="2:14" ht="194.25" customHeight="1" thickTop="1" thickBot="1" x14ac:dyDescent="0.6">
      <c r="B10" s="48">
        <v>10</v>
      </c>
      <c r="C10" s="1" t="s">
        <v>25</v>
      </c>
      <c r="D10" s="13" t="s">
        <v>44</v>
      </c>
      <c r="E10" s="18" t="s">
        <v>122</v>
      </c>
      <c r="G10" s="13" t="s">
        <v>88</v>
      </c>
      <c r="K10">
        <v>35.67</v>
      </c>
      <c r="L10" s="51">
        <f>IF(DropdownsDNT!$E$48=1, M10, N10)</f>
        <v>5200</v>
      </c>
      <c r="M10">
        <v>4000</v>
      </c>
      <c r="N10">
        <f t="shared" si="0"/>
        <v>5200</v>
      </c>
    </row>
    <row r="11" spans="2:14" ht="194.25" customHeight="1" thickTop="1" thickBot="1" x14ac:dyDescent="0.6">
      <c r="B11" s="48">
        <v>11</v>
      </c>
      <c r="C11" s="1" t="s">
        <v>25</v>
      </c>
      <c r="D11" s="87" t="s">
        <v>44</v>
      </c>
      <c r="E11" s="18" t="s">
        <v>122</v>
      </c>
      <c r="G11" s="13" t="s">
        <v>99</v>
      </c>
      <c r="K11">
        <v>35.67</v>
      </c>
      <c r="L11" s="51">
        <f>IF(DropdownsDNT!$E$48=1, M11, N11)</f>
        <v>3900</v>
      </c>
      <c r="M11">
        <v>3000</v>
      </c>
      <c r="N11">
        <f t="shared" si="0"/>
        <v>3900</v>
      </c>
    </row>
    <row r="12" spans="2:14" ht="194.25" customHeight="1" thickTop="1" thickBot="1" x14ac:dyDescent="0.6">
      <c r="B12" s="48">
        <v>12</v>
      </c>
      <c r="C12" s="1" t="s">
        <v>25</v>
      </c>
      <c r="D12" s="87" t="s">
        <v>44</v>
      </c>
      <c r="E12" s="18" t="s">
        <v>122</v>
      </c>
      <c r="G12" s="13" t="s">
        <v>101</v>
      </c>
      <c r="K12">
        <v>35.67</v>
      </c>
      <c r="L12" s="51">
        <f>IF(DropdownsDNT!$E$48=1, M12, N12)</f>
        <v>5200</v>
      </c>
      <c r="M12">
        <v>4000</v>
      </c>
      <c r="N12">
        <f t="shared" si="0"/>
        <v>5200</v>
      </c>
    </row>
    <row r="13" spans="2:14" ht="194.25" customHeight="1" thickTop="1" thickBot="1" x14ac:dyDescent="0.6">
      <c r="B13" s="48">
        <v>13</v>
      </c>
      <c r="C13" s="1" t="s">
        <v>25</v>
      </c>
      <c r="D13" s="13" t="s">
        <v>44</v>
      </c>
      <c r="E13" s="18" t="s">
        <v>122</v>
      </c>
      <c r="G13" s="13" t="s">
        <v>100</v>
      </c>
      <c r="K13">
        <v>35.67</v>
      </c>
      <c r="L13" s="51">
        <f>IF(DropdownsDNT!$E$48=1, M13, N13)</f>
        <v>2600</v>
      </c>
      <c r="M13">
        <v>2000</v>
      </c>
      <c r="N13">
        <f t="shared" si="0"/>
        <v>2600</v>
      </c>
    </row>
    <row r="14" spans="2:14" ht="194.25" customHeight="1" thickTop="1" thickBot="1" x14ac:dyDescent="0.6">
      <c r="B14" s="48">
        <v>14</v>
      </c>
      <c r="C14" s="1" t="s">
        <v>25</v>
      </c>
      <c r="D14" s="13" t="s">
        <v>47</v>
      </c>
      <c r="E14" s="18" t="s">
        <v>122</v>
      </c>
      <c r="G14" s="13" t="s">
        <v>102</v>
      </c>
      <c r="K14">
        <v>35.67</v>
      </c>
      <c r="L14" s="51">
        <f>IF(DropdownsDNT!$E$48=1, M14, N14)</f>
        <v>7800</v>
      </c>
      <c r="M14">
        <v>6000</v>
      </c>
      <c r="N14">
        <f t="shared" si="0"/>
        <v>7800</v>
      </c>
    </row>
    <row r="15" spans="2:14" ht="194.25" customHeight="1" thickTop="1" thickBot="1" x14ac:dyDescent="0.6">
      <c r="B15" s="48">
        <v>15</v>
      </c>
      <c r="C15" s="1" t="s">
        <v>25</v>
      </c>
      <c r="D15" s="13" t="s">
        <v>38</v>
      </c>
      <c r="E15" s="18" t="s">
        <v>122</v>
      </c>
      <c r="G15" s="13" t="s">
        <v>103</v>
      </c>
      <c r="K15">
        <v>35.67</v>
      </c>
      <c r="L15" s="51">
        <f>IF(DropdownsDNT!$E$48=1, M15, N15)</f>
        <v>6500</v>
      </c>
      <c r="M15">
        <v>5000</v>
      </c>
      <c r="N15">
        <f t="shared" si="0"/>
        <v>6500</v>
      </c>
    </row>
    <row r="16" spans="2:14" ht="194.25" customHeight="1" thickTop="1" x14ac:dyDescent="0.55000000000000004">
      <c r="B16" s="48">
        <v>16</v>
      </c>
      <c r="C16" s="1" t="s">
        <v>25</v>
      </c>
      <c r="D16" s="13" t="s">
        <v>38</v>
      </c>
      <c r="E16" s="18" t="s">
        <v>122</v>
      </c>
      <c r="G16" s="13" t="s">
        <v>104</v>
      </c>
      <c r="K16">
        <v>35.67</v>
      </c>
      <c r="L16" s="51">
        <f>IF(DropdownsDNT!$E$48=1, M16, N16)</f>
        <v>6500</v>
      </c>
      <c r="M16">
        <v>5000</v>
      </c>
      <c r="N16">
        <f t="shared" si="0"/>
        <v>6500</v>
      </c>
    </row>
    <row r="17" spans="2:17" ht="194.25" customHeight="1" x14ac:dyDescent="0.55000000000000004">
      <c r="B17" s="48">
        <v>17</v>
      </c>
      <c r="C17" t="s">
        <v>95</v>
      </c>
      <c r="D17" s="13" t="s">
        <v>5</v>
      </c>
      <c r="G17" s="13" t="s">
        <v>252</v>
      </c>
      <c r="H17" t="s">
        <v>310</v>
      </c>
      <c r="K17">
        <v>442.5</v>
      </c>
      <c r="L17" s="51">
        <f>IF(DropdownsDNT!$E$48=1, M17, N17)</f>
        <v>303700.54000000004</v>
      </c>
      <c r="M17">
        <f>(212378)*1.1</f>
        <v>233615.80000000002</v>
      </c>
      <c r="N17">
        <f t="shared" ref="N17:N23" si="1">M17*1.3</f>
        <v>303700.54000000004</v>
      </c>
      <c r="Q17">
        <v>40000</v>
      </c>
    </row>
    <row r="18" spans="2:17" ht="194.25" customHeight="1" x14ac:dyDescent="0.55000000000000004">
      <c r="B18" s="48">
        <v>18</v>
      </c>
      <c r="C18" t="s">
        <v>95</v>
      </c>
      <c r="D18" s="13" t="s">
        <v>5</v>
      </c>
      <c r="G18" s="13" t="s">
        <v>253</v>
      </c>
      <c r="H18" t="s">
        <v>311</v>
      </c>
      <c r="K18">
        <v>442.5</v>
      </c>
      <c r="L18" s="51">
        <f>IF(DropdownsDNT!$E$48=1, M18, N18)</f>
        <v>255686.86000000002</v>
      </c>
      <c r="M18">
        <f>Q18*1.1</f>
        <v>196682.2</v>
      </c>
      <c r="N18">
        <f t="shared" si="1"/>
        <v>255686.86000000002</v>
      </c>
      <c r="Q18">
        <v>178802</v>
      </c>
    </row>
    <row r="19" spans="2:17" ht="194.25" customHeight="1" x14ac:dyDescent="0.55000000000000004">
      <c r="B19" s="48">
        <v>19</v>
      </c>
      <c r="C19" t="s">
        <v>95</v>
      </c>
      <c r="D19" s="13" t="s">
        <v>5</v>
      </c>
      <c r="G19" s="13" t="s">
        <v>257</v>
      </c>
      <c r="H19" t="s">
        <v>312</v>
      </c>
      <c r="K19">
        <v>442.5</v>
      </c>
      <c r="L19" s="51">
        <f>IF(DropdownsDNT!$E$48=1, M19, N19)</f>
        <v>464750</v>
      </c>
      <c r="M19">
        <f>325000*1.1</f>
        <v>357500</v>
      </c>
      <c r="N19">
        <f t="shared" si="1"/>
        <v>464750</v>
      </c>
    </row>
    <row r="20" spans="2:17" ht="194.25" customHeight="1" x14ac:dyDescent="0.55000000000000004">
      <c r="B20" s="48">
        <v>20</v>
      </c>
      <c r="C20" t="s">
        <v>95</v>
      </c>
      <c r="D20" s="13" t="s">
        <v>5</v>
      </c>
      <c r="G20" s="13" t="s">
        <v>258</v>
      </c>
      <c r="H20" s="68" t="s">
        <v>313</v>
      </c>
      <c r="K20">
        <v>442.5</v>
      </c>
      <c r="L20" s="51">
        <f>IF(DropdownsDNT!$E$48=1, M20, N20)</f>
        <v>543400.00000000012</v>
      </c>
      <c r="M20">
        <f>380000*1.1</f>
        <v>418000.00000000006</v>
      </c>
      <c r="N20">
        <f t="shared" si="1"/>
        <v>543400.00000000012</v>
      </c>
    </row>
    <row r="21" spans="2:17" ht="194.25" customHeight="1" x14ac:dyDescent="0.55000000000000004">
      <c r="B21" s="48">
        <v>21</v>
      </c>
      <c r="C21" t="s">
        <v>95</v>
      </c>
      <c r="D21" s="13" t="s">
        <v>5</v>
      </c>
      <c r="G21" s="13" t="s">
        <v>259</v>
      </c>
      <c r="H21" t="s">
        <v>314</v>
      </c>
      <c r="K21">
        <v>442.5</v>
      </c>
      <c r="L21" s="51">
        <f>IF(DropdownsDNT!$E$48=1, M21, N21)</f>
        <v>543400.00000000012</v>
      </c>
      <c r="M21">
        <f>380000*1.1</f>
        <v>418000.00000000006</v>
      </c>
      <c r="N21">
        <f t="shared" si="1"/>
        <v>543400.00000000012</v>
      </c>
    </row>
    <row r="22" spans="2:17" ht="194.25" customHeight="1" x14ac:dyDescent="0.55000000000000004">
      <c r="B22" s="48">
        <v>22</v>
      </c>
      <c r="C22" t="s">
        <v>95</v>
      </c>
      <c r="D22" s="13" t="s">
        <v>92</v>
      </c>
      <c r="G22" s="13" t="s">
        <v>105</v>
      </c>
      <c r="H22" t="s">
        <v>315</v>
      </c>
      <c r="K22">
        <v>442.5</v>
      </c>
      <c r="L22" s="51">
        <f>IF(DropdownsDNT!$E$48=1, M22, N22)</f>
        <v>371800</v>
      </c>
      <c r="M22">
        <f>Q22*1.1</f>
        <v>286000</v>
      </c>
      <c r="N22">
        <f t="shared" si="1"/>
        <v>371800</v>
      </c>
      <c r="Q22">
        <v>260000</v>
      </c>
    </row>
    <row r="23" spans="2:17" ht="194.25" customHeight="1" x14ac:dyDescent="0.55000000000000004">
      <c r="B23" s="48">
        <v>23</v>
      </c>
      <c r="C23" t="s">
        <v>95</v>
      </c>
      <c r="D23" s="13" t="s">
        <v>92</v>
      </c>
      <c r="G23" s="13" t="s">
        <v>106</v>
      </c>
      <c r="H23" t="s">
        <v>316</v>
      </c>
      <c r="K23">
        <v>442.5</v>
      </c>
      <c r="L23" s="51">
        <f>IF(DropdownsDNT!$E$48=1, M23, N23)</f>
        <v>371800</v>
      </c>
      <c r="M23">
        <f>Q23*1.1</f>
        <v>286000</v>
      </c>
      <c r="N23">
        <f t="shared" si="1"/>
        <v>371800</v>
      </c>
      <c r="Q23">
        <v>260000</v>
      </c>
    </row>
    <row r="24" spans="2:17" ht="194.25" customHeight="1" x14ac:dyDescent="0.55000000000000004">
      <c r="B24" s="48">
        <v>24</v>
      </c>
      <c r="C24" t="s">
        <v>95</v>
      </c>
      <c r="D24" s="13" t="s">
        <v>4</v>
      </c>
      <c r="G24" s="13" t="s">
        <v>107</v>
      </c>
      <c r="H24" t="s">
        <v>317</v>
      </c>
      <c r="K24">
        <v>442.5</v>
      </c>
      <c r="L24" s="51">
        <f>IF(DropdownsDNT!$E$48=1, M24, N24)</f>
        <v>429000</v>
      </c>
      <c r="M24">
        <f t="shared" ref="M24:M37" si="2">Q24*1.1</f>
        <v>330000</v>
      </c>
      <c r="N24">
        <f t="shared" ref="N24:N37" si="3">M24*1.3</f>
        <v>429000</v>
      </c>
      <c r="Q24">
        <v>300000</v>
      </c>
    </row>
    <row r="25" spans="2:17" ht="194.25" customHeight="1" x14ac:dyDescent="0.55000000000000004">
      <c r="B25" s="48">
        <v>25</v>
      </c>
      <c r="C25" t="s">
        <v>95</v>
      </c>
      <c r="D25" s="13" t="s">
        <v>41</v>
      </c>
      <c r="G25" s="13" t="s">
        <v>109</v>
      </c>
      <c r="H25" t="s">
        <v>318</v>
      </c>
      <c r="K25">
        <v>442.5</v>
      </c>
      <c r="L25" s="51">
        <v>425000</v>
      </c>
      <c r="M25">
        <f t="shared" si="2"/>
        <v>385000.00000000006</v>
      </c>
      <c r="N25">
        <f t="shared" si="3"/>
        <v>500500.00000000012</v>
      </c>
      <c r="Q25">
        <v>350000</v>
      </c>
    </row>
    <row r="26" spans="2:17" ht="194.25" customHeight="1" x14ac:dyDescent="0.55000000000000004">
      <c r="B26" s="48">
        <v>26</v>
      </c>
      <c r="C26" t="s">
        <v>95</v>
      </c>
      <c r="D26" s="13" t="s">
        <v>41</v>
      </c>
      <c r="G26" s="13" t="s">
        <v>108</v>
      </c>
      <c r="H26" t="s">
        <v>319</v>
      </c>
      <c r="K26">
        <v>442.5</v>
      </c>
      <c r="L26" s="51">
        <f>IF(DropdownsDNT!$E$48=1, M26, N26)</f>
        <v>286000.00000000006</v>
      </c>
      <c r="M26">
        <f t="shared" si="2"/>
        <v>220000.00000000003</v>
      </c>
      <c r="N26">
        <f t="shared" si="3"/>
        <v>286000.00000000006</v>
      </c>
      <c r="Q26">
        <v>200000</v>
      </c>
    </row>
    <row r="27" spans="2:17" ht="194.25" customHeight="1" x14ac:dyDescent="0.55000000000000004">
      <c r="B27" s="48">
        <v>27</v>
      </c>
      <c r="C27" t="s">
        <v>95</v>
      </c>
      <c r="D27" s="87" t="s">
        <v>43</v>
      </c>
      <c r="G27" s="13" t="s">
        <v>110</v>
      </c>
      <c r="H27" t="s">
        <v>320</v>
      </c>
      <c r="K27">
        <v>442.5</v>
      </c>
      <c r="L27" s="51">
        <f>IF(DropdownsDNT!$E$48=1, M27, N27)</f>
        <v>393250</v>
      </c>
      <c r="M27">
        <f t="shared" si="2"/>
        <v>302500</v>
      </c>
      <c r="N27">
        <f t="shared" si="3"/>
        <v>393250</v>
      </c>
      <c r="Q27">
        <v>275000</v>
      </c>
    </row>
    <row r="28" spans="2:17" ht="194.25" customHeight="1" x14ac:dyDescent="0.55000000000000004">
      <c r="B28" s="48">
        <v>28</v>
      </c>
      <c r="C28" t="s">
        <v>95</v>
      </c>
      <c r="D28" s="13" t="s">
        <v>43</v>
      </c>
      <c r="G28" s="13" t="s">
        <v>111</v>
      </c>
      <c r="H28" t="s">
        <v>319</v>
      </c>
      <c r="K28">
        <v>442.5</v>
      </c>
      <c r="L28" s="51">
        <f>IF(DropdownsDNT!$E$48=1, M28, N28)</f>
        <v>357500</v>
      </c>
      <c r="M28">
        <f t="shared" si="2"/>
        <v>275000</v>
      </c>
      <c r="N28">
        <f t="shared" si="3"/>
        <v>357500</v>
      </c>
      <c r="Q28">
        <v>250000</v>
      </c>
    </row>
    <row r="29" spans="2:17" ht="194.25" customHeight="1" x14ac:dyDescent="0.55000000000000004">
      <c r="B29" s="48">
        <v>29</v>
      </c>
      <c r="C29" t="s">
        <v>95</v>
      </c>
      <c r="D29" s="13" t="s">
        <v>44</v>
      </c>
      <c r="G29" s="13" t="s">
        <v>76</v>
      </c>
      <c r="H29" t="s">
        <v>321</v>
      </c>
      <c r="K29">
        <v>442.5</v>
      </c>
      <c r="L29" s="51">
        <f>IF(DropdownsDNT!$E$48=1, M29, N29)</f>
        <v>250250.00000000006</v>
      </c>
      <c r="M29">
        <f t="shared" si="2"/>
        <v>192500.00000000003</v>
      </c>
      <c r="N29">
        <f t="shared" si="3"/>
        <v>250250.00000000006</v>
      </c>
      <c r="Q29">
        <v>175000</v>
      </c>
    </row>
    <row r="30" spans="2:17" ht="194.25" customHeight="1" x14ac:dyDescent="0.55000000000000004">
      <c r="B30" s="48">
        <v>30</v>
      </c>
      <c r="C30" t="s">
        <v>95</v>
      </c>
      <c r="D30" s="13" t="s">
        <v>45</v>
      </c>
      <c r="G30" s="13" t="s">
        <v>112</v>
      </c>
      <c r="H30" t="s">
        <v>322</v>
      </c>
      <c r="K30">
        <v>442.5</v>
      </c>
      <c r="L30" s="51">
        <f>IF(DropdownsDNT!$E$48=1, M30, N30)</f>
        <v>286000.00000000006</v>
      </c>
      <c r="M30">
        <f t="shared" si="2"/>
        <v>220000.00000000003</v>
      </c>
      <c r="N30">
        <f t="shared" si="3"/>
        <v>286000.00000000006</v>
      </c>
      <c r="Q30">
        <v>200000</v>
      </c>
    </row>
    <row r="31" spans="2:17" ht="194.25" customHeight="1" x14ac:dyDescent="0.55000000000000004">
      <c r="B31" s="48">
        <v>31</v>
      </c>
      <c r="C31" t="s">
        <v>261</v>
      </c>
      <c r="D31" s="13" t="s">
        <v>45</v>
      </c>
      <c r="G31" s="13" t="s">
        <v>260</v>
      </c>
      <c r="H31" t="s">
        <v>323</v>
      </c>
      <c r="K31">
        <v>885</v>
      </c>
      <c r="L31" s="51">
        <f>IF(DropdownsDNT!$E$48=1, M31, N31)</f>
        <v>286000.00000000006</v>
      </c>
      <c r="M31">
        <f>Q31*1.1</f>
        <v>220000.00000000003</v>
      </c>
      <c r="N31">
        <f>M31*1.3</f>
        <v>286000.00000000006</v>
      </c>
      <c r="Q31">
        <v>200000</v>
      </c>
    </row>
    <row r="32" spans="2:17" ht="194.25" customHeight="1" x14ac:dyDescent="0.55000000000000004">
      <c r="B32" s="48">
        <v>32</v>
      </c>
      <c r="C32" t="s">
        <v>95</v>
      </c>
      <c r="D32" s="13" t="s">
        <v>46</v>
      </c>
      <c r="G32" s="13" t="s">
        <v>113</v>
      </c>
      <c r="H32" t="s">
        <v>324</v>
      </c>
      <c r="K32">
        <v>442.5</v>
      </c>
      <c r="L32" s="51">
        <f>IF(DropdownsDNT!$E$48=1, M32, N32)</f>
        <v>429000</v>
      </c>
      <c r="M32">
        <f t="shared" si="2"/>
        <v>330000</v>
      </c>
      <c r="N32">
        <f t="shared" si="3"/>
        <v>429000</v>
      </c>
      <c r="Q32">
        <v>300000</v>
      </c>
    </row>
    <row r="33" spans="2:17" ht="194.25" customHeight="1" x14ac:dyDescent="0.55000000000000004">
      <c r="B33" s="48">
        <v>33</v>
      </c>
      <c r="C33" t="s">
        <v>95</v>
      </c>
      <c r="D33" s="13" t="s">
        <v>47</v>
      </c>
      <c r="G33" s="13" t="s">
        <v>114</v>
      </c>
      <c r="H33" t="s">
        <v>325</v>
      </c>
      <c r="K33">
        <v>442.5</v>
      </c>
      <c r="L33" s="51">
        <f>IF(DropdownsDNT!$E$48=1, M33, N33)</f>
        <v>443300</v>
      </c>
      <c r="M33">
        <f t="shared" si="2"/>
        <v>341000</v>
      </c>
      <c r="N33">
        <f t="shared" si="3"/>
        <v>443300</v>
      </c>
      <c r="Q33">
        <v>310000</v>
      </c>
    </row>
    <row r="34" spans="2:17" ht="194.25" customHeight="1" x14ac:dyDescent="0.55000000000000004">
      <c r="B34" s="48">
        <v>34</v>
      </c>
      <c r="C34" t="s">
        <v>261</v>
      </c>
      <c r="D34" s="36" t="s">
        <v>243</v>
      </c>
      <c r="G34" s="36" t="s">
        <v>263</v>
      </c>
      <c r="H34" t="s">
        <v>326</v>
      </c>
      <c r="K34">
        <v>885</v>
      </c>
      <c r="L34" s="51">
        <f>IF(DropdownsDNT!$E$48=1, M34, N34)</f>
        <v>1072500.0000000002</v>
      </c>
      <c r="M34">
        <f t="shared" si="2"/>
        <v>825000.00000000012</v>
      </c>
      <c r="N34">
        <f t="shared" si="3"/>
        <v>1072500.0000000002</v>
      </c>
      <c r="Q34">
        <v>750000</v>
      </c>
    </row>
    <row r="35" spans="2:17" ht="194.25" customHeight="1" x14ac:dyDescent="0.55000000000000004">
      <c r="B35" s="48">
        <v>35</v>
      </c>
      <c r="C35" t="s">
        <v>95</v>
      </c>
      <c r="D35" s="36" t="s">
        <v>243</v>
      </c>
      <c r="G35" s="36" t="s">
        <v>262</v>
      </c>
      <c r="H35" t="s">
        <v>327</v>
      </c>
      <c r="K35">
        <v>665.1</v>
      </c>
      <c r="L35" s="51">
        <f>IF(DropdownsDNT!$E$48=1, M35, N35)</f>
        <v>1072500.0000000002</v>
      </c>
      <c r="M35">
        <f t="shared" si="2"/>
        <v>825000.00000000012</v>
      </c>
      <c r="N35">
        <f t="shared" si="3"/>
        <v>1072500.0000000002</v>
      </c>
      <c r="Q35">
        <v>750000</v>
      </c>
    </row>
    <row r="36" spans="2:17" ht="194.25" customHeight="1" x14ac:dyDescent="0.55000000000000004">
      <c r="B36" s="48">
        <v>36</v>
      </c>
      <c r="C36" t="s">
        <v>95</v>
      </c>
      <c r="D36" s="36" t="s">
        <v>243</v>
      </c>
      <c r="G36" s="36" t="s">
        <v>244</v>
      </c>
      <c r="H36" t="s">
        <v>328</v>
      </c>
      <c r="K36">
        <v>442.5</v>
      </c>
      <c r="L36" s="51">
        <f>IF(DropdownsDNT!$E$48=1, M36, N36)</f>
        <v>536250.00000000012</v>
      </c>
      <c r="M36">
        <f t="shared" si="2"/>
        <v>412500.00000000006</v>
      </c>
      <c r="N36">
        <f t="shared" si="3"/>
        <v>536250.00000000012</v>
      </c>
      <c r="Q36">
        <v>375000</v>
      </c>
    </row>
    <row r="37" spans="2:17" ht="194.25" customHeight="1" x14ac:dyDescent="0.55000000000000004">
      <c r="B37" s="48">
        <v>37</v>
      </c>
      <c r="C37" t="s">
        <v>95</v>
      </c>
      <c r="D37" s="36" t="s">
        <v>248</v>
      </c>
      <c r="G37" s="36" t="s">
        <v>249</v>
      </c>
      <c r="H37" t="s">
        <v>329</v>
      </c>
      <c r="K37">
        <v>442.5</v>
      </c>
      <c r="L37" s="51">
        <f>IF(DropdownsDNT!$E$48=1, M37, N37)</f>
        <v>400400</v>
      </c>
      <c r="M37">
        <f t="shared" si="2"/>
        <v>308000</v>
      </c>
      <c r="N37">
        <f t="shared" si="3"/>
        <v>400400</v>
      </c>
      <c r="Q37">
        <v>280000</v>
      </c>
    </row>
    <row r="38" spans="2:17" ht="194.25" customHeight="1" x14ac:dyDescent="0.55000000000000004">
      <c r="B38" s="48">
        <v>38</v>
      </c>
      <c r="C38" t="s">
        <v>261</v>
      </c>
      <c r="D38" s="13" t="s">
        <v>92</v>
      </c>
      <c r="G38" s="13" t="s">
        <v>264</v>
      </c>
      <c r="K38">
        <v>885</v>
      </c>
      <c r="L38" s="51">
        <f>IF(DropdownsDNT!$E$48=1, M38, N38)</f>
        <v>743600</v>
      </c>
      <c r="M38">
        <f>Q38*1.1</f>
        <v>572000</v>
      </c>
      <c r="N38">
        <f t="shared" ref="N38:N44" si="4">M38*1.3</f>
        <v>743600</v>
      </c>
      <c r="Q38">
        <v>520000</v>
      </c>
    </row>
    <row r="39" spans="2:17" ht="194.25" customHeight="1" x14ac:dyDescent="0.55000000000000004">
      <c r="B39" s="48">
        <v>39</v>
      </c>
      <c r="C39" t="s">
        <v>261</v>
      </c>
      <c r="D39" s="13" t="s">
        <v>43</v>
      </c>
      <c r="G39" s="13" t="s">
        <v>265</v>
      </c>
      <c r="H39" t="s">
        <v>320</v>
      </c>
      <c r="K39">
        <v>885</v>
      </c>
      <c r="L39" s="51">
        <f>IF(DropdownsDNT!$E$48=1, M39, N39)</f>
        <v>786500</v>
      </c>
      <c r="M39">
        <f>Q39*1.1</f>
        <v>605000</v>
      </c>
      <c r="N39">
        <f t="shared" si="4"/>
        <v>786500</v>
      </c>
      <c r="Q39">
        <v>550000</v>
      </c>
    </row>
    <row r="40" spans="2:17" ht="194.25" customHeight="1" x14ac:dyDescent="0.55000000000000004">
      <c r="B40" s="48">
        <v>40</v>
      </c>
      <c r="C40" t="s">
        <v>261</v>
      </c>
      <c r="D40" s="13" t="s">
        <v>5</v>
      </c>
      <c r="G40" s="13" t="s">
        <v>266</v>
      </c>
      <c r="K40">
        <v>885</v>
      </c>
      <c r="L40" s="51">
        <f>IF(DropdownsDNT!$E$48=1, M40, N40)</f>
        <v>607401.08000000007</v>
      </c>
      <c r="M40">
        <f>(424756)*1.1</f>
        <v>467231.60000000003</v>
      </c>
      <c r="N40">
        <f t="shared" si="4"/>
        <v>607401.08000000007</v>
      </c>
      <c r="Q40">
        <v>40000</v>
      </c>
    </row>
    <row r="41" spans="2:17" ht="194.25" customHeight="1" x14ac:dyDescent="0.55000000000000004">
      <c r="B41" s="48">
        <v>41</v>
      </c>
      <c r="C41" t="s">
        <v>261</v>
      </c>
      <c r="D41" s="13" t="s">
        <v>5</v>
      </c>
      <c r="G41" s="13" t="s">
        <v>272</v>
      </c>
      <c r="K41">
        <v>885</v>
      </c>
      <c r="L41" s="51">
        <f>IF(DropdownsDNT!$E$48=1, M41, N41)</f>
        <v>1086800.0000000002</v>
      </c>
      <c r="M41">
        <f>760000*1.1</f>
        <v>836000.00000000012</v>
      </c>
      <c r="N41">
        <f t="shared" si="4"/>
        <v>1086800.0000000002</v>
      </c>
    </row>
    <row r="42" spans="2:17" ht="194.25" customHeight="1" x14ac:dyDescent="0.55000000000000004">
      <c r="B42" s="48">
        <v>42</v>
      </c>
      <c r="C42" t="s">
        <v>261</v>
      </c>
      <c r="D42" s="13" t="s">
        <v>5</v>
      </c>
      <c r="G42" s="13" t="s">
        <v>267</v>
      </c>
      <c r="K42">
        <v>885</v>
      </c>
      <c r="L42" s="51">
        <f>IF(DropdownsDNT!$E$48=1, M42, N42)</f>
        <v>1086800.0000000002</v>
      </c>
      <c r="M42">
        <f>760000*1.1</f>
        <v>836000.00000000012</v>
      </c>
      <c r="N42">
        <f t="shared" si="4"/>
        <v>1086800.0000000002</v>
      </c>
    </row>
    <row r="43" spans="2:17" ht="194.25" customHeight="1" x14ac:dyDescent="0.55000000000000004">
      <c r="B43" s="48">
        <v>43</v>
      </c>
      <c r="C43" t="s">
        <v>261</v>
      </c>
      <c r="D43" s="13" t="s">
        <v>4</v>
      </c>
      <c r="G43" s="13" t="s">
        <v>268</v>
      </c>
      <c r="K43">
        <v>885</v>
      </c>
      <c r="L43" s="51">
        <f>IF(DropdownsDNT!$E$48=1, M43, N43)</f>
        <v>858000</v>
      </c>
      <c r="M43">
        <f>Q43*1.1</f>
        <v>660000</v>
      </c>
      <c r="N43">
        <f t="shared" si="4"/>
        <v>858000</v>
      </c>
      <c r="Q43">
        <v>600000</v>
      </c>
    </row>
    <row r="44" spans="2:17" ht="194.25" customHeight="1" x14ac:dyDescent="0.55000000000000004">
      <c r="B44" s="48">
        <v>44</v>
      </c>
      <c r="C44" t="s">
        <v>261</v>
      </c>
      <c r="D44" s="36" t="s">
        <v>248</v>
      </c>
      <c r="G44" s="36" t="s">
        <v>269</v>
      </c>
      <c r="K44">
        <v>885</v>
      </c>
      <c r="L44" s="51">
        <f>IF(DropdownsDNT!$E$48=1, M44, N44)</f>
        <v>800800</v>
      </c>
      <c r="M44">
        <f>Q44*1.1</f>
        <v>616000</v>
      </c>
      <c r="N44">
        <f t="shared" si="4"/>
        <v>800800</v>
      </c>
      <c r="Q44">
        <v>560000</v>
      </c>
    </row>
    <row r="45" spans="2:17" ht="194.25" customHeight="1" x14ac:dyDescent="0.55000000000000004">
      <c r="B45" s="48">
        <v>45</v>
      </c>
      <c r="C45" t="s">
        <v>362</v>
      </c>
      <c r="D45" s="36"/>
      <c r="G45" s="36" t="s">
        <v>247</v>
      </c>
    </row>
    <row r="46" spans="2:17" ht="268.5" customHeight="1" x14ac:dyDescent="0.55000000000000004">
      <c r="B46" s="48">
        <v>46</v>
      </c>
      <c r="C46" t="s">
        <v>394</v>
      </c>
      <c r="G46" s="36" t="s">
        <v>247</v>
      </c>
    </row>
  </sheetData>
  <pageMargins left="0.7" right="0.7" top="0.75" bottom="0.75" header="0.3" footer="0.3"/>
  <pageSetup orientation="portrait" horizontalDpi="1200" verticalDpi="120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G19"/>
  <sheetViews>
    <sheetView tabSelected="1" topLeftCell="A10" zoomScale="85" zoomScaleNormal="85" workbookViewId="0">
      <selection activeCell="F12" sqref="F12"/>
    </sheetView>
  </sheetViews>
  <sheetFormatPr defaultRowHeight="14.4" x14ac:dyDescent="0.55000000000000004"/>
  <cols>
    <col min="1" max="1" width="14.578125" customWidth="1"/>
    <col min="2" max="2" width="49.578125" style="18" customWidth="1"/>
    <col min="3" max="3" width="22.15625" customWidth="1"/>
    <col min="5" max="5" width="26.26171875" customWidth="1"/>
    <col min="6" max="6" width="52.26171875" style="18" customWidth="1"/>
    <col min="7" max="7" width="37.26171875" style="18" customWidth="1"/>
  </cols>
  <sheetData>
    <row r="1" spans="1:6" x14ac:dyDescent="0.55000000000000004">
      <c r="A1" s="115" t="s">
        <v>330</v>
      </c>
      <c r="B1" s="115"/>
      <c r="C1" s="72">
        <v>43998</v>
      </c>
      <c r="E1" s="12" t="s">
        <v>338</v>
      </c>
    </row>
    <row r="2" spans="1:6" ht="28.8" x14ac:dyDescent="0.55000000000000004">
      <c r="A2" s="12" t="s">
        <v>331</v>
      </c>
      <c r="B2" s="79" t="s">
        <v>333</v>
      </c>
      <c r="C2" s="12" t="s">
        <v>332</v>
      </c>
      <c r="D2" s="12"/>
      <c r="E2" t="s">
        <v>339</v>
      </c>
      <c r="F2" s="18" t="s">
        <v>340</v>
      </c>
    </row>
    <row r="3" spans="1:6" ht="72" x14ac:dyDescent="0.55000000000000004">
      <c r="A3" s="72">
        <v>43998</v>
      </c>
      <c r="B3" s="18" t="s">
        <v>334</v>
      </c>
      <c r="C3" t="s">
        <v>335</v>
      </c>
      <c r="E3" t="s">
        <v>341</v>
      </c>
      <c r="F3" s="18" t="s">
        <v>342</v>
      </c>
    </row>
    <row r="4" spans="1:6" x14ac:dyDescent="0.55000000000000004">
      <c r="B4" s="18" t="s">
        <v>336</v>
      </c>
      <c r="E4" t="s">
        <v>343</v>
      </c>
      <c r="F4" s="18" t="s">
        <v>344</v>
      </c>
    </row>
    <row r="5" spans="1:6" ht="43.2" x14ac:dyDescent="0.55000000000000004">
      <c r="B5" s="18" t="s">
        <v>337</v>
      </c>
      <c r="E5" t="s">
        <v>345</v>
      </c>
      <c r="F5" s="18" t="s">
        <v>346</v>
      </c>
    </row>
    <row r="6" spans="1:6" ht="28.8" x14ac:dyDescent="0.55000000000000004">
      <c r="B6" s="18" t="s">
        <v>365</v>
      </c>
      <c r="E6" t="s">
        <v>347</v>
      </c>
      <c r="F6" s="18" t="s">
        <v>348</v>
      </c>
    </row>
    <row r="7" spans="1:6" ht="43.2" x14ac:dyDescent="0.55000000000000004">
      <c r="B7" s="18" t="s">
        <v>366</v>
      </c>
      <c r="E7" t="s">
        <v>349</v>
      </c>
      <c r="F7" s="18" t="s">
        <v>350</v>
      </c>
    </row>
    <row r="8" spans="1:6" ht="57.6" x14ac:dyDescent="0.55000000000000004">
      <c r="B8" s="18" t="s">
        <v>367</v>
      </c>
      <c r="E8" t="s">
        <v>351</v>
      </c>
      <c r="F8" s="18" t="s">
        <v>356</v>
      </c>
    </row>
    <row r="9" spans="1:6" ht="28.8" x14ac:dyDescent="0.55000000000000004">
      <c r="B9" s="18" t="s">
        <v>370</v>
      </c>
      <c r="E9" t="s">
        <v>352</v>
      </c>
      <c r="F9" s="18" t="s">
        <v>353</v>
      </c>
    </row>
    <row r="10" spans="1:6" ht="43.2" x14ac:dyDescent="0.55000000000000004">
      <c r="B10" s="18" t="s">
        <v>372</v>
      </c>
      <c r="E10" t="s">
        <v>354</v>
      </c>
      <c r="F10" s="18" t="s">
        <v>355</v>
      </c>
    </row>
    <row r="11" spans="1:6" ht="43.2" x14ac:dyDescent="0.55000000000000004">
      <c r="E11" t="s">
        <v>357</v>
      </c>
      <c r="F11" s="18" t="s">
        <v>358</v>
      </c>
    </row>
    <row r="12" spans="1:6" x14ac:dyDescent="0.55000000000000004">
      <c r="A12" s="72">
        <v>44322</v>
      </c>
      <c r="B12" s="18" t="s">
        <v>382</v>
      </c>
      <c r="C12" t="s">
        <v>335</v>
      </c>
    </row>
    <row r="13" spans="1:6" x14ac:dyDescent="0.55000000000000004">
      <c r="B13" s="18" t="s">
        <v>384</v>
      </c>
      <c r="C13" t="s">
        <v>335</v>
      </c>
    </row>
    <row r="14" spans="1:6" x14ac:dyDescent="0.55000000000000004">
      <c r="B14" s="18" t="s">
        <v>386</v>
      </c>
      <c r="C14" t="s">
        <v>335</v>
      </c>
    </row>
    <row r="15" spans="1:6" ht="57.6" x14ac:dyDescent="0.55000000000000004">
      <c r="B15" s="18" t="s">
        <v>387</v>
      </c>
    </row>
    <row r="16" spans="1:6" x14ac:dyDescent="0.55000000000000004">
      <c r="A16" s="72">
        <v>44781</v>
      </c>
      <c r="B16" s="18" t="s">
        <v>384</v>
      </c>
      <c r="C16" t="s">
        <v>389</v>
      </c>
    </row>
    <row r="17" spans="1:3" x14ac:dyDescent="0.55000000000000004">
      <c r="A17" s="72">
        <v>44998</v>
      </c>
      <c r="B17" s="18" t="s">
        <v>392</v>
      </c>
      <c r="C17" t="s">
        <v>389</v>
      </c>
    </row>
    <row r="18" spans="1:3" ht="43.2" x14ac:dyDescent="0.55000000000000004">
      <c r="A18" s="83">
        <v>45057</v>
      </c>
      <c r="B18" s="18" t="s">
        <v>396</v>
      </c>
      <c r="C18" t="s">
        <v>389</v>
      </c>
    </row>
    <row r="19" spans="1:3" ht="28.8" x14ac:dyDescent="0.55000000000000004">
      <c r="A19" s="83">
        <v>45686</v>
      </c>
      <c r="B19" s="18" t="s">
        <v>401</v>
      </c>
      <c r="C19" t="s">
        <v>402</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2:L60"/>
  <sheetViews>
    <sheetView zoomScale="60" zoomScaleNormal="60" workbookViewId="0">
      <selection activeCell="F22" sqref="F22"/>
    </sheetView>
  </sheetViews>
  <sheetFormatPr defaultRowHeight="14.4" x14ac:dyDescent="0.55000000000000004"/>
  <cols>
    <col min="2" max="2" width="25" bestFit="1" customWidth="1"/>
    <col min="3" max="3" width="36.68359375" bestFit="1" customWidth="1"/>
    <col min="4" max="4" width="9.41796875" customWidth="1"/>
    <col min="5" max="5" width="25" bestFit="1" customWidth="1"/>
    <col min="6" max="6" width="34.83984375" bestFit="1" customWidth="1"/>
    <col min="7" max="7" width="7.68359375" customWidth="1"/>
    <col min="8" max="8" width="25" bestFit="1" customWidth="1"/>
    <col min="9" max="9" width="20.15625" bestFit="1" customWidth="1"/>
    <col min="10" max="10" width="5.578125" customWidth="1"/>
    <col min="11" max="11" width="25" bestFit="1" customWidth="1"/>
    <col min="12" max="12" width="25.83984375" bestFit="1" customWidth="1"/>
  </cols>
  <sheetData>
    <row r="2" spans="2:12" x14ac:dyDescent="0.55000000000000004">
      <c r="F2" t="s">
        <v>85</v>
      </c>
      <c r="I2" t="s">
        <v>84</v>
      </c>
      <c r="L2" t="s">
        <v>86</v>
      </c>
    </row>
    <row r="3" spans="2:12" x14ac:dyDescent="0.55000000000000004">
      <c r="B3" t="s">
        <v>5</v>
      </c>
      <c r="C3" t="s">
        <v>52</v>
      </c>
      <c r="E3" t="s">
        <v>5</v>
      </c>
      <c r="F3" t="s">
        <v>52</v>
      </c>
      <c r="H3" t="s">
        <v>5</v>
      </c>
      <c r="K3" t="s">
        <v>5</v>
      </c>
      <c r="L3" t="s">
        <v>54</v>
      </c>
    </row>
    <row r="4" spans="2:12" x14ac:dyDescent="0.55000000000000004">
      <c r="C4" t="s">
        <v>53</v>
      </c>
      <c r="E4" t="s">
        <v>5</v>
      </c>
      <c r="F4" t="s">
        <v>53</v>
      </c>
      <c r="H4" t="s">
        <v>39</v>
      </c>
      <c r="I4" t="s">
        <v>58</v>
      </c>
      <c r="K4" t="s">
        <v>5</v>
      </c>
      <c r="L4" t="s">
        <v>55</v>
      </c>
    </row>
    <row r="5" spans="2:12" x14ac:dyDescent="0.55000000000000004">
      <c r="C5" t="s">
        <v>54</v>
      </c>
      <c r="E5" t="s">
        <v>5</v>
      </c>
      <c r="F5" t="s">
        <v>56</v>
      </c>
      <c r="H5" t="s">
        <v>41</v>
      </c>
      <c r="I5" t="s">
        <v>68</v>
      </c>
      <c r="K5" t="s">
        <v>39</v>
      </c>
    </row>
    <row r="6" spans="2:12" x14ac:dyDescent="0.55000000000000004">
      <c r="C6" t="s">
        <v>55</v>
      </c>
      <c r="E6" t="s">
        <v>39</v>
      </c>
      <c r="F6" t="s">
        <v>57</v>
      </c>
      <c r="H6" t="s">
        <v>42</v>
      </c>
      <c r="I6" t="s">
        <v>70</v>
      </c>
      <c r="K6" t="s">
        <v>4</v>
      </c>
      <c r="L6" t="s">
        <v>60</v>
      </c>
    </row>
    <row r="7" spans="2:12" x14ac:dyDescent="0.55000000000000004">
      <c r="C7" t="s">
        <v>56</v>
      </c>
      <c r="E7" t="s">
        <v>4</v>
      </c>
      <c r="F7" t="s">
        <v>63</v>
      </c>
      <c r="H7" t="s">
        <v>44</v>
      </c>
      <c r="I7" t="s">
        <v>87</v>
      </c>
      <c r="K7" t="s">
        <v>4</v>
      </c>
      <c r="L7" t="s">
        <v>61</v>
      </c>
    </row>
    <row r="8" spans="2:12" x14ac:dyDescent="0.55000000000000004">
      <c r="E8" t="s">
        <v>41</v>
      </c>
      <c r="F8" t="s">
        <v>67</v>
      </c>
      <c r="H8" t="s">
        <v>44</v>
      </c>
      <c r="I8" t="s">
        <v>88</v>
      </c>
      <c r="K8" t="s">
        <v>4</v>
      </c>
      <c r="L8" t="s">
        <v>62</v>
      </c>
    </row>
    <row r="9" spans="2:12" x14ac:dyDescent="0.55000000000000004">
      <c r="B9" t="s">
        <v>39</v>
      </c>
      <c r="C9" t="s">
        <v>57</v>
      </c>
      <c r="E9" t="s">
        <v>41</v>
      </c>
      <c r="F9" t="s">
        <v>69</v>
      </c>
      <c r="H9" t="s">
        <v>44</v>
      </c>
      <c r="I9" t="s">
        <v>89</v>
      </c>
      <c r="K9" t="s">
        <v>40</v>
      </c>
      <c r="L9" t="s">
        <v>65</v>
      </c>
    </row>
    <row r="10" spans="2:12" x14ac:dyDescent="0.55000000000000004">
      <c r="C10" t="s">
        <v>58</v>
      </c>
      <c r="E10" t="s">
        <v>43</v>
      </c>
      <c r="F10" t="s">
        <v>74</v>
      </c>
      <c r="H10" t="s">
        <v>44</v>
      </c>
      <c r="I10" t="s">
        <v>90</v>
      </c>
      <c r="K10" t="s">
        <v>40</v>
      </c>
      <c r="L10" t="s">
        <v>66</v>
      </c>
    </row>
    <row r="11" spans="2:12" x14ac:dyDescent="0.55000000000000004">
      <c r="C11" t="s">
        <v>59</v>
      </c>
      <c r="E11" t="s">
        <v>43</v>
      </c>
      <c r="F11" t="s">
        <v>75</v>
      </c>
      <c r="H11" t="s">
        <v>44</v>
      </c>
      <c r="I11" t="s">
        <v>91</v>
      </c>
      <c r="K11" t="s">
        <v>41</v>
      </c>
    </row>
    <row r="12" spans="2:12" x14ac:dyDescent="0.55000000000000004">
      <c r="E12" t="s">
        <v>44</v>
      </c>
      <c r="F12" t="s">
        <v>76</v>
      </c>
      <c r="H12" t="s">
        <v>47</v>
      </c>
      <c r="I12" t="s">
        <v>80</v>
      </c>
      <c r="K12" t="s">
        <v>42</v>
      </c>
      <c r="L12" t="s">
        <v>71</v>
      </c>
    </row>
    <row r="13" spans="2:12" x14ac:dyDescent="0.55000000000000004">
      <c r="B13" t="s">
        <v>4</v>
      </c>
      <c r="C13" t="s">
        <v>60</v>
      </c>
      <c r="E13" t="s">
        <v>45</v>
      </c>
      <c r="F13" t="s">
        <v>77</v>
      </c>
      <c r="H13" t="s">
        <v>38</v>
      </c>
      <c r="I13" t="s">
        <v>50</v>
      </c>
      <c r="K13" t="s">
        <v>42</v>
      </c>
      <c r="L13" t="s">
        <v>73</v>
      </c>
    </row>
    <row r="14" spans="2:12" x14ac:dyDescent="0.55000000000000004">
      <c r="C14" t="s">
        <v>61</v>
      </c>
      <c r="E14" t="s">
        <v>46</v>
      </c>
      <c r="F14" t="s">
        <v>78</v>
      </c>
      <c r="H14" t="s">
        <v>38</v>
      </c>
      <c r="I14" t="s">
        <v>51</v>
      </c>
      <c r="K14" t="s">
        <v>43</v>
      </c>
    </row>
    <row r="15" spans="2:12" x14ac:dyDescent="0.55000000000000004">
      <c r="C15" t="s">
        <v>62</v>
      </c>
      <c r="E15" t="s">
        <v>47</v>
      </c>
      <c r="F15" t="s">
        <v>83</v>
      </c>
      <c r="K15" t="s">
        <v>44</v>
      </c>
    </row>
    <row r="16" spans="2:12" x14ac:dyDescent="0.55000000000000004">
      <c r="C16" t="s">
        <v>63</v>
      </c>
      <c r="K16" t="s">
        <v>45</v>
      </c>
    </row>
    <row r="17" spans="2:12" x14ac:dyDescent="0.55000000000000004">
      <c r="K17" t="s">
        <v>46</v>
      </c>
      <c r="L17" t="s">
        <v>79</v>
      </c>
    </row>
    <row r="18" spans="2:12" x14ac:dyDescent="0.55000000000000004">
      <c r="B18" t="s">
        <v>40</v>
      </c>
      <c r="C18" t="s">
        <v>64</v>
      </c>
      <c r="K18" t="s">
        <v>47</v>
      </c>
      <c r="L18" t="s">
        <v>81</v>
      </c>
    </row>
    <row r="19" spans="2:12" x14ac:dyDescent="0.55000000000000004">
      <c r="C19" t="s">
        <v>65</v>
      </c>
      <c r="K19" t="s">
        <v>47</v>
      </c>
      <c r="L19" t="s">
        <v>82</v>
      </c>
    </row>
    <row r="20" spans="2:12" x14ac:dyDescent="0.55000000000000004">
      <c r="C20" t="s">
        <v>66</v>
      </c>
      <c r="K20" t="s">
        <v>38</v>
      </c>
      <c r="L20" t="s">
        <v>48</v>
      </c>
    </row>
    <row r="21" spans="2:12" x14ac:dyDescent="0.55000000000000004">
      <c r="K21" t="s">
        <v>38</v>
      </c>
      <c r="L21" t="s">
        <v>49</v>
      </c>
    </row>
    <row r="22" spans="2:12" x14ac:dyDescent="0.55000000000000004">
      <c r="B22" t="s">
        <v>41</v>
      </c>
      <c r="C22" t="s">
        <v>67</v>
      </c>
    </row>
    <row r="23" spans="2:12" x14ac:dyDescent="0.55000000000000004">
      <c r="C23" t="s">
        <v>68</v>
      </c>
      <c r="E23" t="s">
        <v>38</v>
      </c>
    </row>
    <row r="24" spans="2:12" x14ac:dyDescent="0.55000000000000004">
      <c r="C24" t="s">
        <v>69</v>
      </c>
      <c r="E24" t="s">
        <v>40</v>
      </c>
    </row>
    <row r="25" spans="2:12" x14ac:dyDescent="0.55000000000000004">
      <c r="E25" t="s">
        <v>42</v>
      </c>
    </row>
    <row r="26" spans="2:12" x14ac:dyDescent="0.55000000000000004">
      <c r="B26" t="s">
        <v>42</v>
      </c>
      <c r="C26" t="s">
        <v>70</v>
      </c>
    </row>
    <row r="27" spans="2:12" x14ac:dyDescent="0.55000000000000004">
      <c r="C27" t="s">
        <v>71</v>
      </c>
    </row>
    <row r="28" spans="2:12" x14ac:dyDescent="0.55000000000000004">
      <c r="C28" t="s">
        <v>72</v>
      </c>
      <c r="H28" t="s">
        <v>4</v>
      </c>
    </row>
    <row r="29" spans="2:12" x14ac:dyDescent="0.55000000000000004">
      <c r="C29" t="s">
        <v>73</v>
      </c>
      <c r="H29" t="s">
        <v>40</v>
      </c>
    </row>
    <row r="31" spans="2:12" x14ac:dyDescent="0.55000000000000004">
      <c r="B31" t="s">
        <v>43</v>
      </c>
      <c r="C31" t="s">
        <v>74</v>
      </c>
      <c r="H31" t="s">
        <v>43</v>
      </c>
    </row>
    <row r="32" spans="2:12" x14ac:dyDescent="0.55000000000000004">
      <c r="C32" t="s">
        <v>75</v>
      </c>
    </row>
    <row r="33" spans="2:8" x14ac:dyDescent="0.55000000000000004">
      <c r="H33" t="s">
        <v>45</v>
      </c>
    </row>
    <row r="34" spans="2:8" x14ac:dyDescent="0.55000000000000004">
      <c r="H34" t="s">
        <v>46</v>
      </c>
    </row>
    <row r="35" spans="2:8" x14ac:dyDescent="0.55000000000000004">
      <c r="B35" t="s">
        <v>44</v>
      </c>
      <c r="C35" t="s">
        <v>76</v>
      </c>
    </row>
    <row r="36" spans="2:8" x14ac:dyDescent="0.55000000000000004">
      <c r="C36" t="s">
        <v>87</v>
      </c>
    </row>
    <row r="37" spans="2:8" x14ac:dyDescent="0.55000000000000004">
      <c r="C37" t="s">
        <v>88</v>
      </c>
    </row>
    <row r="38" spans="2:8" x14ac:dyDescent="0.55000000000000004">
      <c r="C38" t="s">
        <v>89</v>
      </c>
    </row>
    <row r="39" spans="2:8" x14ac:dyDescent="0.55000000000000004">
      <c r="C39" t="s">
        <v>90</v>
      </c>
    </row>
    <row r="40" spans="2:8" x14ac:dyDescent="0.55000000000000004">
      <c r="C40" t="s">
        <v>91</v>
      </c>
    </row>
    <row r="46" spans="2:8" x14ac:dyDescent="0.55000000000000004">
      <c r="B46" t="s">
        <v>45</v>
      </c>
      <c r="C46" t="s">
        <v>77</v>
      </c>
    </row>
    <row r="49" spans="2:3" x14ac:dyDescent="0.55000000000000004">
      <c r="B49" t="s">
        <v>46</v>
      </c>
      <c r="C49" t="s">
        <v>78</v>
      </c>
    </row>
    <row r="50" spans="2:3" x14ac:dyDescent="0.55000000000000004">
      <c r="C50" t="s">
        <v>79</v>
      </c>
    </row>
    <row r="52" spans="2:3" x14ac:dyDescent="0.55000000000000004">
      <c r="B52" t="s">
        <v>47</v>
      </c>
      <c r="C52" t="s">
        <v>80</v>
      </c>
    </row>
    <row r="53" spans="2:3" x14ac:dyDescent="0.55000000000000004">
      <c r="C53" t="s">
        <v>81</v>
      </c>
    </row>
    <row r="54" spans="2:3" x14ac:dyDescent="0.55000000000000004">
      <c r="C54" t="s">
        <v>82</v>
      </c>
    </row>
    <row r="55" spans="2:3" x14ac:dyDescent="0.55000000000000004">
      <c r="C55" t="s">
        <v>83</v>
      </c>
    </row>
    <row r="57" spans="2:3" x14ac:dyDescent="0.55000000000000004">
      <c r="B57" t="s">
        <v>38</v>
      </c>
      <c r="C57" t="s">
        <v>50</v>
      </c>
    </row>
    <row r="58" spans="2:3" x14ac:dyDescent="0.55000000000000004">
      <c r="C58" t="s">
        <v>51</v>
      </c>
    </row>
    <row r="59" spans="2:3" x14ac:dyDescent="0.55000000000000004">
      <c r="C59" t="s">
        <v>48</v>
      </c>
    </row>
    <row r="60" spans="2:3" x14ac:dyDescent="0.55000000000000004">
      <c r="C6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E7"/>
  <sheetViews>
    <sheetView showGridLines="0" zoomScale="80" zoomScaleNormal="80" workbookViewId="0">
      <selection activeCell="F22" sqref="F22"/>
    </sheetView>
  </sheetViews>
  <sheetFormatPr defaultColWidth="80.68359375" defaultRowHeight="327" customHeight="1" x14ac:dyDescent="0.55000000000000004"/>
  <sheetData>
    <row r="1" spans="2:5" ht="327" customHeight="1" x14ac:dyDescent="0.55000000000000004">
      <c r="B1">
        <v>1</v>
      </c>
      <c r="C1">
        <v>1</v>
      </c>
      <c r="D1" t="str">
        <f>VLOOKUP(C1, DropdownsDNT!B3:C10, 2, FALSE)</f>
        <v>Common Uniform Building Envelope (CUBE)</v>
      </c>
      <c r="E1" t="s">
        <v>246</v>
      </c>
    </row>
    <row r="2" spans="2:5" ht="327" customHeight="1" x14ac:dyDescent="0.55000000000000004">
      <c r="B2">
        <v>2</v>
      </c>
    </row>
    <row r="3" spans="2:5" ht="327" customHeight="1" x14ac:dyDescent="0.55000000000000004">
      <c r="B3">
        <v>3</v>
      </c>
    </row>
    <row r="4" spans="2:5" ht="327" customHeight="1" x14ac:dyDescent="0.55000000000000004">
      <c r="B4">
        <v>4</v>
      </c>
    </row>
    <row r="5" spans="2:5" ht="327" customHeight="1" x14ac:dyDescent="0.55000000000000004">
      <c r="B5">
        <v>5</v>
      </c>
    </row>
    <row r="6" spans="2:5" ht="327" customHeight="1" x14ac:dyDescent="0.55000000000000004">
      <c r="B6">
        <v>6</v>
      </c>
    </row>
    <row r="7" spans="2:5" ht="327" customHeight="1" x14ac:dyDescent="0.55000000000000004">
      <c r="B7">
        <v>7</v>
      </c>
    </row>
  </sheetData>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B1:R43"/>
  <sheetViews>
    <sheetView showGridLines="0" zoomScale="50" zoomScaleNormal="50" workbookViewId="0">
      <selection activeCell="V35" sqref="V35"/>
    </sheetView>
  </sheetViews>
  <sheetFormatPr defaultRowHeight="14.4" x14ac:dyDescent="0.55000000000000004"/>
  <cols>
    <col min="1" max="1" width="1.578125" customWidth="1"/>
    <col min="2" max="2" width="1.83984375" customWidth="1"/>
    <col min="4" max="4" width="13.15625" customWidth="1"/>
    <col min="5" max="5" width="25" customWidth="1"/>
    <col min="6" max="6" width="1.41796875" customWidth="1"/>
    <col min="7" max="7" width="1.83984375" customWidth="1"/>
    <col min="8" max="8" width="16.68359375" customWidth="1"/>
    <col min="9" max="9" width="26.68359375" customWidth="1"/>
    <col min="10" max="10" width="18.83984375" customWidth="1"/>
    <col min="11" max="11" width="31.26171875" customWidth="1"/>
    <col min="12" max="12" width="1.41796875" customWidth="1"/>
    <col min="13" max="13" width="15.83984375" customWidth="1"/>
    <col min="14" max="14" width="16.68359375" customWidth="1"/>
    <col min="15" max="15" width="1" customWidth="1"/>
    <col min="16" max="16" width="2" customWidth="1"/>
    <col min="17" max="17" width="1.578125" customWidth="1"/>
    <col min="18" max="18" width="10.26171875" bestFit="1" customWidth="1"/>
  </cols>
  <sheetData>
    <row r="1" spans="2:15" ht="7.5" customHeight="1" thickBot="1" x14ac:dyDescent="0.6"/>
    <row r="2" spans="2:15" ht="21.75" customHeight="1" thickTop="1" x14ac:dyDescent="0.7">
      <c r="B2" s="37"/>
      <c r="C2" s="85" t="s">
        <v>245</v>
      </c>
      <c r="D2" s="38"/>
      <c r="E2" s="39"/>
      <c r="G2" s="93" t="s">
        <v>397</v>
      </c>
      <c r="H2" s="94"/>
      <c r="I2" s="94"/>
      <c r="J2" s="94"/>
      <c r="K2" s="94"/>
      <c r="L2" s="62"/>
      <c r="M2" s="1"/>
      <c r="N2" s="1"/>
      <c r="O2" s="4"/>
    </row>
    <row r="3" spans="2:15" ht="7.5" customHeight="1" x14ac:dyDescent="0.55000000000000004">
      <c r="B3" s="40"/>
      <c r="E3" s="41"/>
      <c r="G3" s="5"/>
      <c r="O3" s="6"/>
    </row>
    <row r="4" spans="2:15" ht="15" customHeight="1" x14ac:dyDescent="0.6">
      <c r="B4" s="40"/>
      <c r="C4" s="86" t="s">
        <v>36</v>
      </c>
      <c r="D4" s="12"/>
      <c r="E4" s="41"/>
      <c r="G4" s="5"/>
      <c r="H4" s="100"/>
      <c r="I4" s="100"/>
      <c r="J4" s="100"/>
      <c r="K4" s="100"/>
      <c r="L4" s="63"/>
      <c r="O4" s="6"/>
    </row>
    <row r="5" spans="2:15" x14ac:dyDescent="0.55000000000000004">
      <c r="B5" s="40"/>
      <c r="C5" s="12" t="s">
        <v>37</v>
      </c>
      <c r="E5" s="41"/>
      <c r="G5" s="5"/>
      <c r="H5" s="100"/>
      <c r="I5" s="100"/>
      <c r="J5" s="100"/>
      <c r="K5" s="100"/>
      <c r="L5" s="63"/>
      <c r="O5" s="6"/>
    </row>
    <row r="6" spans="2:15" x14ac:dyDescent="0.55000000000000004">
      <c r="B6" s="40"/>
      <c r="C6" s="12"/>
      <c r="D6" s="12"/>
      <c r="E6" s="41"/>
      <c r="G6" s="5"/>
      <c r="H6" s="19"/>
      <c r="I6" s="19"/>
      <c r="J6" s="19"/>
      <c r="K6" s="19"/>
      <c r="L6" s="19"/>
      <c r="O6" s="6"/>
    </row>
    <row r="7" spans="2:15" x14ac:dyDescent="0.55000000000000004">
      <c r="B7" s="40"/>
      <c r="C7" s="12" t="s">
        <v>286</v>
      </c>
      <c r="E7" s="41"/>
      <c r="G7" s="5"/>
      <c r="H7" s="19"/>
      <c r="I7" s="19"/>
      <c r="J7" s="19"/>
      <c r="K7" s="19"/>
      <c r="L7" s="19"/>
      <c r="M7" s="103" t="s">
        <v>254</v>
      </c>
      <c r="N7" s="103"/>
      <c r="O7" s="6"/>
    </row>
    <row r="8" spans="2:15" ht="15" customHeight="1" x14ac:dyDescent="0.55000000000000004">
      <c r="B8" s="40"/>
      <c r="E8" s="41"/>
      <c r="G8" s="5"/>
      <c r="M8" s="103"/>
      <c r="N8" s="103"/>
      <c r="O8" s="6"/>
    </row>
    <row r="9" spans="2:15" ht="15.75" customHeight="1" thickBot="1" x14ac:dyDescent="0.6">
      <c r="B9" s="40"/>
      <c r="E9" s="41"/>
      <c r="G9" s="5"/>
      <c r="O9" s="6"/>
    </row>
    <row r="10" spans="2:15" ht="14.7" thickBot="1" x14ac:dyDescent="0.6">
      <c r="B10" s="40"/>
      <c r="E10" s="41"/>
      <c r="G10" s="5"/>
      <c r="M10" s="101" t="s">
        <v>115</v>
      </c>
      <c r="N10" s="102"/>
      <c r="O10" s="6"/>
    </row>
    <row r="11" spans="2:15" x14ac:dyDescent="0.55000000000000004">
      <c r="B11" s="40"/>
      <c r="E11" s="41"/>
      <c r="G11" s="5"/>
      <c r="M11" s="89" t="str">
        <f>DropdownsDNT!H36</f>
        <v>Blank Floor Plan</v>
      </c>
      <c r="N11" s="90"/>
      <c r="O11" s="6"/>
    </row>
    <row r="12" spans="2:15" ht="15" customHeight="1" thickBot="1" x14ac:dyDescent="0.6">
      <c r="B12" s="40"/>
      <c r="C12" s="12"/>
      <c r="E12" s="41"/>
      <c r="G12" s="5"/>
      <c r="M12" s="91"/>
      <c r="N12" s="92"/>
      <c r="O12" s="6"/>
    </row>
    <row r="13" spans="2:15" ht="15" customHeight="1" thickTop="1" thickBot="1" x14ac:dyDescent="0.6">
      <c r="B13" s="40"/>
      <c r="C13" s="12" t="s">
        <v>369</v>
      </c>
      <c r="E13" s="41"/>
      <c r="G13" s="5"/>
      <c r="M13" s="30"/>
      <c r="N13" s="30"/>
      <c r="O13" s="6"/>
    </row>
    <row r="14" spans="2:15" ht="18.3" x14ac:dyDescent="0.7">
      <c r="B14" s="40"/>
      <c r="D14" s="29"/>
      <c r="E14" s="41"/>
      <c r="G14" s="5"/>
      <c r="M14" s="96" t="s">
        <v>10</v>
      </c>
      <c r="N14" s="97"/>
      <c r="O14" s="6"/>
    </row>
    <row r="15" spans="2:15" ht="15" customHeight="1" x14ac:dyDescent="0.7">
      <c r="B15" s="40"/>
      <c r="C15" s="29"/>
      <c r="E15" s="41"/>
      <c r="G15" s="5"/>
      <c r="M15" s="31" t="s">
        <v>242</v>
      </c>
      <c r="N15" s="34">
        <f>DropdownsDNT!N2</f>
        <v>1.23</v>
      </c>
      <c r="O15" s="6"/>
    </row>
    <row r="16" spans="2:15" ht="18.3" x14ac:dyDescent="0.7">
      <c r="B16" s="40"/>
      <c r="C16" s="29"/>
      <c r="D16" s="29"/>
      <c r="E16" s="41"/>
      <c r="G16" s="5"/>
      <c r="M16" s="31" t="s">
        <v>11</v>
      </c>
      <c r="N16" s="32">
        <f>(DONOTTOUCH!AK8)*N15</f>
        <v>2307.1186440677966</v>
      </c>
      <c r="O16" s="6"/>
    </row>
    <row r="17" spans="2:18" ht="15" customHeight="1" x14ac:dyDescent="0.55000000000000004">
      <c r="B17" s="40"/>
      <c r="C17" s="74" t="s">
        <v>359</v>
      </c>
      <c r="E17" s="41"/>
      <c r="G17" s="5"/>
      <c r="M17" s="31" t="s">
        <v>14</v>
      </c>
      <c r="N17" s="33">
        <f>DONOTTOUCH!L1</f>
        <v>442.5</v>
      </c>
      <c r="O17" s="6"/>
    </row>
    <row r="18" spans="2:18" ht="15" customHeight="1" x14ac:dyDescent="0.55000000000000004">
      <c r="B18" s="40"/>
      <c r="E18" s="41"/>
      <c r="G18" s="5"/>
      <c r="M18" s="31" t="s">
        <v>281</v>
      </c>
      <c r="N18" s="33"/>
      <c r="O18" s="6"/>
    </row>
    <row r="19" spans="2:18" ht="15" customHeight="1" x14ac:dyDescent="0.55000000000000004">
      <c r="B19" s="40"/>
      <c r="E19" s="41"/>
      <c r="G19" s="5"/>
      <c r="M19" s="59" t="s">
        <v>279</v>
      </c>
      <c r="N19" s="32">
        <f>DONOTTOUCH!AK6*N15</f>
        <v>202950</v>
      </c>
      <c r="O19" s="6"/>
    </row>
    <row r="20" spans="2:18" x14ac:dyDescent="0.55000000000000004">
      <c r="B20" s="40"/>
      <c r="E20" s="41"/>
      <c r="G20" s="5"/>
      <c r="M20" s="59" t="s">
        <v>278</v>
      </c>
      <c r="N20" s="32">
        <f>DONOTTOUCH!AK5*N15</f>
        <v>817950</v>
      </c>
      <c r="O20" s="6"/>
    </row>
    <row r="21" spans="2:18" x14ac:dyDescent="0.55000000000000004">
      <c r="B21" s="40"/>
      <c r="E21" s="41"/>
      <c r="G21" s="5"/>
      <c r="M21" s="59" t="s">
        <v>282</v>
      </c>
      <c r="N21" s="32">
        <f>DONOTTOUCH!AM2*N15</f>
        <v>0</v>
      </c>
      <c r="O21" s="6"/>
    </row>
    <row r="22" spans="2:18" ht="15" customHeight="1" x14ac:dyDescent="0.55000000000000004">
      <c r="B22" s="40"/>
      <c r="E22" s="41"/>
      <c r="G22" s="5"/>
      <c r="M22" s="59" t="s">
        <v>283</v>
      </c>
      <c r="N22" s="35">
        <f>(N16*N17)</f>
        <v>1020900</v>
      </c>
      <c r="O22" s="6"/>
      <c r="R22" s="55"/>
    </row>
    <row r="23" spans="2:18" x14ac:dyDescent="0.55000000000000004">
      <c r="B23" s="40"/>
      <c r="E23" s="41"/>
      <c r="G23" s="5"/>
      <c r="M23" s="53" t="s">
        <v>399</v>
      </c>
      <c r="N23" s="54">
        <f>N22*0.02</f>
        <v>20418</v>
      </c>
      <c r="O23" s="6"/>
    </row>
    <row r="24" spans="2:18" ht="14.7" thickBot="1" x14ac:dyDescent="0.6">
      <c r="B24" s="40"/>
      <c r="E24" s="41"/>
      <c r="G24" s="5"/>
      <c r="M24" s="56" t="s">
        <v>255</v>
      </c>
      <c r="N24" s="57">
        <f>N22+N23</f>
        <v>1041318</v>
      </c>
      <c r="O24" s="6"/>
    </row>
    <row r="25" spans="2:18" ht="30.75" customHeight="1" x14ac:dyDescent="0.55000000000000004">
      <c r="B25" s="40"/>
      <c r="E25" s="41"/>
      <c r="G25" s="5"/>
      <c r="M25" s="104" t="s">
        <v>398</v>
      </c>
      <c r="N25" s="104"/>
      <c r="O25" s="6"/>
    </row>
    <row r="26" spans="2:18" ht="15" customHeight="1" thickBot="1" x14ac:dyDescent="0.6">
      <c r="B26" s="40"/>
      <c r="E26" s="41"/>
      <c r="G26" s="5"/>
      <c r="M26" s="105"/>
      <c r="N26" s="105"/>
      <c r="O26" s="6"/>
    </row>
    <row r="27" spans="2:18" ht="14.7" thickBot="1" x14ac:dyDescent="0.6">
      <c r="B27" s="40"/>
      <c r="E27" s="41"/>
      <c r="G27" s="5"/>
      <c r="M27" s="98" t="s">
        <v>34</v>
      </c>
      <c r="N27" s="99"/>
      <c r="O27" s="6"/>
    </row>
    <row r="28" spans="2:18" ht="7.5" customHeight="1" x14ac:dyDescent="0.55000000000000004">
      <c r="B28" s="40"/>
      <c r="E28" s="41"/>
      <c r="G28" s="5"/>
      <c r="M28" s="106" t="str">
        <f>DropdownsDNT!D71</f>
        <v>a "bay" consists of a 24'x16' section. The default SAFE Envelope consists of 14 Bays. The facilities can be stretched or shortened modularly per "bay" width
Construction Material: Concrete Frame with CMU Infill
Roof Type: Protected structure with integral protective roof
Occupancy: semi-permanent facility to be occupied no more than 25 years.</v>
      </c>
      <c r="N28" s="107"/>
      <c r="O28" s="6"/>
    </row>
    <row r="29" spans="2:18" ht="18.3" x14ac:dyDescent="0.7">
      <c r="B29" s="40"/>
      <c r="C29" s="29"/>
      <c r="D29" s="29"/>
      <c r="E29" s="61"/>
      <c r="F29" s="29"/>
      <c r="G29" s="5"/>
      <c r="M29" s="108"/>
      <c r="N29" s="109"/>
      <c r="O29" s="6"/>
    </row>
    <row r="30" spans="2:18" ht="18.3" x14ac:dyDescent="0.7">
      <c r="B30" s="40"/>
      <c r="E30" s="61"/>
      <c r="G30" s="5"/>
      <c r="M30" s="108"/>
      <c r="N30" s="109"/>
      <c r="O30" s="6"/>
    </row>
    <row r="31" spans="2:18" x14ac:dyDescent="0.55000000000000004">
      <c r="B31" s="40"/>
      <c r="C31" s="73" t="s">
        <v>284</v>
      </c>
      <c r="E31" s="41" t="s">
        <v>360</v>
      </c>
      <c r="G31" s="5"/>
      <c r="M31" s="108"/>
      <c r="N31" s="109"/>
      <c r="O31" s="6"/>
    </row>
    <row r="32" spans="2:18" x14ac:dyDescent="0.55000000000000004">
      <c r="B32" s="40"/>
      <c r="C32" s="73"/>
      <c r="E32" s="41"/>
      <c r="F32" s="46"/>
      <c r="G32" s="5"/>
      <c r="H32" s="95" t="s">
        <v>12</v>
      </c>
      <c r="I32" s="95"/>
      <c r="J32" s="95"/>
      <c r="K32" s="95"/>
      <c r="L32" s="64"/>
      <c r="M32" s="108"/>
      <c r="N32" s="109"/>
      <c r="O32" s="6"/>
    </row>
    <row r="33" spans="2:15" ht="15" customHeight="1" x14ac:dyDescent="0.7">
      <c r="B33" s="40"/>
      <c r="C33" s="42"/>
      <c r="E33" s="41"/>
      <c r="F33" s="46"/>
      <c r="G33" s="5"/>
      <c r="H33" s="65" t="s">
        <v>287</v>
      </c>
      <c r="I33" s="66"/>
      <c r="J33" s="66"/>
      <c r="K33" s="66"/>
      <c r="M33" s="108"/>
      <c r="N33" s="109"/>
      <c r="O33" s="6"/>
    </row>
    <row r="34" spans="2:15" x14ac:dyDescent="0.55000000000000004">
      <c r="B34" s="40"/>
      <c r="E34" s="41"/>
      <c r="F34" s="46"/>
      <c r="G34" s="5"/>
      <c r="H34" s="67" t="s">
        <v>288</v>
      </c>
      <c r="I34" s="69" t="str">
        <f>DropdownsDNT!W16</f>
        <v>Protected Roof w/Parapet</v>
      </c>
      <c r="J34" s="67" t="s">
        <v>292</v>
      </c>
      <c r="K34" s="69" t="str">
        <f>IF(OR(DONOTTOUCH!D1="Two Story",DONOTTOUCH!D1="Two Story CUBE"),"Two Story",IF(DONOTTOUCH!D1="CUBE Tower","Three Story","Single Story"))</f>
        <v>Single Story</v>
      </c>
      <c r="M34" s="108"/>
      <c r="N34" s="109"/>
      <c r="O34" s="6"/>
    </row>
    <row r="35" spans="2:15" x14ac:dyDescent="0.55000000000000004">
      <c r="B35" s="40"/>
      <c r="C35" s="73" t="s">
        <v>361</v>
      </c>
      <c r="E35" s="41"/>
      <c r="F35" s="46"/>
      <c r="G35" s="5"/>
      <c r="H35" s="67" t="s">
        <v>236</v>
      </c>
      <c r="I35" s="69" t="str">
        <f>DropdownsDNT!O1</f>
        <v>California</v>
      </c>
      <c r="J35" s="67" t="s">
        <v>291</v>
      </c>
      <c r="K35" s="69" t="str">
        <f>DropdownsDNT!D69</f>
        <v>14 Bay, 9.8m x 34.3m, 442.5 m2</v>
      </c>
      <c r="M35" s="108"/>
      <c r="N35" s="109"/>
      <c r="O35" s="6"/>
    </row>
    <row r="36" spans="2:15" x14ac:dyDescent="0.55000000000000004">
      <c r="B36" s="40"/>
      <c r="E36" s="41"/>
      <c r="F36" s="46"/>
      <c r="G36" s="5"/>
      <c r="H36" s="71" t="s">
        <v>289</v>
      </c>
      <c r="I36" s="69" t="str">
        <f>DropdownsDNT!F48</f>
        <v>Contractor</v>
      </c>
      <c r="J36" s="67" t="s">
        <v>293</v>
      </c>
      <c r="K36" s="69" t="s">
        <v>306</v>
      </c>
      <c r="M36" s="108"/>
      <c r="N36" s="109"/>
      <c r="O36" s="6"/>
    </row>
    <row r="37" spans="2:15" ht="16.5" customHeight="1" x14ac:dyDescent="0.55000000000000004">
      <c r="B37" s="40"/>
      <c r="E37" s="41"/>
      <c r="F37" s="46"/>
      <c r="G37" s="5"/>
      <c r="H37" s="112" t="s">
        <v>294</v>
      </c>
      <c r="I37" s="113" t="e">
        <f>VLOOKUP(M11, Project_Data_Input!G6:H44, 2, FALSE)</f>
        <v>#N/A</v>
      </c>
      <c r="J37" s="112" t="s">
        <v>290</v>
      </c>
      <c r="K37" s="114" t="str">
        <f>DropdownsDNT!D70</f>
        <v>Concrete Framing w/ CMU infill</v>
      </c>
      <c r="M37" s="108"/>
      <c r="N37" s="109"/>
      <c r="O37" s="6"/>
    </row>
    <row r="38" spans="2:15" ht="15.75" customHeight="1" x14ac:dyDescent="0.55000000000000004">
      <c r="B38" s="40"/>
      <c r="E38" s="41"/>
      <c r="F38" s="46"/>
      <c r="G38" s="5"/>
      <c r="H38" s="112"/>
      <c r="I38" s="113"/>
      <c r="J38" s="112"/>
      <c r="K38" s="114"/>
      <c r="M38" s="108"/>
      <c r="N38" s="109"/>
      <c r="O38" s="6"/>
    </row>
    <row r="39" spans="2:15" ht="14.7" thickBot="1" x14ac:dyDescent="0.6">
      <c r="B39" s="40"/>
      <c r="E39" s="41"/>
      <c r="G39" s="5"/>
      <c r="H39" s="112"/>
      <c r="I39" s="113"/>
      <c r="J39" s="112"/>
      <c r="K39" s="114"/>
      <c r="M39" s="110"/>
      <c r="N39" s="111"/>
      <c r="O39" s="6"/>
    </row>
    <row r="40" spans="2:15" ht="18.75" customHeight="1" thickBot="1" x14ac:dyDescent="0.6">
      <c r="B40" s="40"/>
      <c r="E40" s="41"/>
      <c r="G40" s="7"/>
      <c r="H40" s="8"/>
      <c r="I40" s="8"/>
      <c r="J40" s="8"/>
      <c r="K40" s="8"/>
      <c r="L40" s="8"/>
      <c r="M40" s="8"/>
      <c r="N40" s="8"/>
      <c r="O40" s="9"/>
    </row>
    <row r="41" spans="2:15" ht="14.7" thickTop="1" x14ac:dyDescent="0.55000000000000004">
      <c r="B41" s="40"/>
      <c r="E41" s="41"/>
    </row>
    <row r="42" spans="2:15" x14ac:dyDescent="0.55000000000000004">
      <c r="B42" s="40"/>
      <c r="E42" s="41"/>
    </row>
    <row r="43" spans="2:15" ht="14.7" thickBot="1" x14ac:dyDescent="0.6">
      <c r="B43" s="43"/>
      <c r="C43" s="44"/>
      <c r="D43" s="44"/>
      <c r="E43" s="45"/>
    </row>
  </sheetData>
  <mergeCells count="14">
    <mergeCell ref="M11:N12"/>
    <mergeCell ref="G2:K2"/>
    <mergeCell ref="H32:K32"/>
    <mergeCell ref="M14:N14"/>
    <mergeCell ref="M27:N27"/>
    <mergeCell ref="H4:K5"/>
    <mergeCell ref="M10:N10"/>
    <mergeCell ref="M7:N8"/>
    <mergeCell ref="M25:N26"/>
    <mergeCell ref="M28:N39"/>
    <mergeCell ref="H37:H39"/>
    <mergeCell ref="I37:I39"/>
    <mergeCell ref="J37:J39"/>
    <mergeCell ref="K37:K39"/>
  </mergeCells>
  <printOptions horizontalCentered="1" verticalCentered="1"/>
  <pageMargins left="0.25" right="0.25" top="0.25" bottom="0.25" header="0.3" footer="0.3"/>
  <pageSetup scale="89"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284" r:id="rId4" name="Option Button 212">
              <controlPr defaultSize="0" autoFill="0" autoLine="0" autoPict="0">
                <anchor moveWithCells="1">
                  <from>
                    <xdr:col>1</xdr:col>
                    <xdr:colOff>68580</xdr:colOff>
                    <xdr:row>4</xdr:row>
                    <xdr:rowOff>171450</xdr:rowOff>
                  </from>
                  <to>
                    <xdr:col>4</xdr:col>
                    <xdr:colOff>906780</xdr:colOff>
                    <xdr:row>6</xdr:row>
                    <xdr:rowOff>49530</xdr:rowOff>
                  </to>
                </anchor>
              </controlPr>
            </control>
          </mc:Choice>
        </mc:AlternateContent>
        <mc:AlternateContent xmlns:mc="http://schemas.openxmlformats.org/markup-compatibility/2006">
          <mc:Choice Requires="x14">
            <control shapeId="3285" r:id="rId5" name="Option Button 213">
              <controlPr defaultSize="0" autoFill="0" autoLine="0" autoPict="0">
                <anchor moveWithCells="1">
                  <from>
                    <xdr:col>1</xdr:col>
                    <xdr:colOff>68580</xdr:colOff>
                    <xdr:row>6</xdr:row>
                    <xdr:rowOff>171450</xdr:rowOff>
                  </from>
                  <to>
                    <xdr:col>4</xdr:col>
                    <xdr:colOff>906780</xdr:colOff>
                    <xdr:row>8</xdr:row>
                    <xdr:rowOff>19050</xdr:rowOff>
                  </to>
                </anchor>
              </controlPr>
            </control>
          </mc:Choice>
        </mc:AlternateContent>
        <mc:AlternateContent xmlns:mc="http://schemas.openxmlformats.org/markup-compatibility/2006">
          <mc:Choice Requires="x14">
            <control shapeId="3286" r:id="rId6" name="Option Button 214">
              <controlPr defaultSize="0" autoFill="0" autoLine="0" autoPict="0">
                <anchor moveWithCells="1">
                  <from>
                    <xdr:col>1</xdr:col>
                    <xdr:colOff>76200</xdr:colOff>
                    <xdr:row>8</xdr:row>
                    <xdr:rowOff>201930</xdr:rowOff>
                  </from>
                  <to>
                    <xdr:col>4</xdr:col>
                    <xdr:colOff>914400</xdr:colOff>
                    <xdr:row>10</xdr:row>
                    <xdr:rowOff>0</xdr:rowOff>
                  </to>
                </anchor>
              </controlPr>
            </control>
          </mc:Choice>
        </mc:AlternateContent>
        <mc:AlternateContent xmlns:mc="http://schemas.openxmlformats.org/markup-compatibility/2006">
          <mc:Choice Requires="x14">
            <control shapeId="3287" r:id="rId7" name="Option Button 215">
              <controlPr defaultSize="0" autoFill="0" autoLine="0" autoPict="0">
                <anchor moveWithCells="1">
                  <from>
                    <xdr:col>1</xdr:col>
                    <xdr:colOff>106680</xdr:colOff>
                    <xdr:row>12</xdr:row>
                    <xdr:rowOff>182880</xdr:rowOff>
                  </from>
                  <to>
                    <xdr:col>4</xdr:col>
                    <xdr:colOff>1363980</xdr:colOff>
                    <xdr:row>13</xdr:row>
                    <xdr:rowOff>201930</xdr:rowOff>
                  </to>
                </anchor>
              </controlPr>
            </control>
          </mc:Choice>
        </mc:AlternateContent>
        <mc:AlternateContent xmlns:mc="http://schemas.openxmlformats.org/markup-compatibility/2006">
          <mc:Choice Requires="x14">
            <control shapeId="3289" r:id="rId8" name="Option Button 217">
              <controlPr defaultSize="0" autoFill="0" autoLine="0" autoPict="0">
                <anchor moveWithCells="1">
                  <from>
                    <xdr:col>1</xdr:col>
                    <xdr:colOff>68580</xdr:colOff>
                    <xdr:row>7</xdr:row>
                    <xdr:rowOff>163830</xdr:rowOff>
                  </from>
                  <to>
                    <xdr:col>4</xdr:col>
                    <xdr:colOff>906780</xdr:colOff>
                    <xdr:row>9</xdr:row>
                    <xdr:rowOff>30480</xdr:rowOff>
                  </to>
                </anchor>
              </controlPr>
            </control>
          </mc:Choice>
        </mc:AlternateContent>
        <mc:AlternateContent xmlns:mc="http://schemas.openxmlformats.org/markup-compatibility/2006">
          <mc:Choice Requires="x14">
            <control shapeId="3321" r:id="rId9" name="Option Button 249">
              <controlPr defaultSize="0" autoFill="0" autoLine="0" autoPict="0" altText="Tactically Earthen Rapidly Raised Assembly Hut">
                <anchor moveWithCells="1">
                  <from>
                    <xdr:col>1</xdr:col>
                    <xdr:colOff>87630</xdr:colOff>
                    <xdr:row>10</xdr:row>
                    <xdr:rowOff>11430</xdr:rowOff>
                  </from>
                  <to>
                    <xdr:col>4</xdr:col>
                    <xdr:colOff>1211580</xdr:colOff>
                    <xdr:row>11</xdr:row>
                    <xdr:rowOff>19050</xdr:rowOff>
                  </to>
                </anchor>
              </controlPr>
            </control>
          </mc:Choice>
        </mc:AlternateContent>
        <mc:AlternateContent xmlns:mc="http://schemas.openxmlformats.org/markup-compatibility/2006">
          <mc:Choice Requires="x14">
            <control shapeId="3329" r:id="rId10" name="List Box 257">
              <controlPr defaultSize="0" autoLine="0" autoPict="0">
                <anchor moveWithCells="1">
                  <from>
                    <xdr:col>1</xdr:col>
                    <xdr:colOff>68580</xdr:colOff>
                    <xdr:row>17</xdr:row>
                    <xdr:rowOff>0</xdr:rowOff>
                  </from>
                  <to>
                    <xdr:col>4</xdr:col>
                    <xdr:colOff>1078230</xdr:colOff>
                    <xdr:row>29</xdr:row>
                    <xdr:rowOff>133350</xdr:rowOff>
                  </to>
                </anchor>
              </controlPr>
            </control>
          </mc:Choice>
        </mc:AlternateContent>
        <mc:AlternateContent xmlns:mc="http://schemas.openxmlformats.org/markup-compatibility/2006">
          <mc:Choice Requires="x14">
            <control shapeId="3363" r:id="rId11" name="List Box 291">
              <controlPr defaultSize="0" autoLine="0" autoPict="0">
                <anchor moveWithCells="1">
                  <from>
                    <xdr:col>4</xdr:col>
                    <xdr:colOff>171450</xdr:colOff>
                    <xdr:row>31</xdr:row>
                    <xdr:rowOff>57150</xdr:rowOff>
                  </from>
                  <to>
                    <xdr:col>4</xdr:col>
                    <xdr:colOff>1287780</xdr:colOff>
                    <xdr:row>41</xdr:row>
                    <xdr:rowOff>133350</xdr:rowOff>
                  </to>
                </anchor>
              </controlPr>
            </control>
          </mc:Choice>
        </mc:AlternateContent>
        <mc:AlternateContent xmlns:mc="http://schemas.openxmlformats.org/markup-compatibility/2006">
          <mc:Choice Requires="x14">
            <control shapeId="3365" r:id="rId12" name="Group Box 293">
              <controlPr defaultSize="0" autoFill="0" autoPict="0">
                <anchor moveWithCells="1">
                  <from>
                    <xdr:col>1</xdr:col>
                    <xdr:colOff>95250</xdr:colOff>
                    <xdr:row>35</xdr:row>
                    <xdr:rowOff>11430</xdr:rowOff>
                  </from>
                  <to>
                    <xdr:col>3</xdr:col>
                    <xdr:colOff>438150</xdr:colOff>
                    <xdr:row>37</xdr:row>
                    <xdr:rowOff>95250</xdr:rowOff>
                  </to>
                </anchor>
              </controlPr>
            </control>
          </mc:Choice>
        </mc:AlternateContent>
        <mc:AlternateContent xmlns:mc="http://schemas.openxmlformats.org/markup-compatibility/2006">
          <mc:Choice Requires="x14">
            <control shapeId="3366" r:id="rId13" name="Option Button 294">
              <controlPr defaultSize="0" autoFill="0" autoLine="0" autoPict="0">
                <anchor moveWithCells="1">
                  <from>
                    <xdr:col>2</xdr:col>
                    <xdr:colOff>106680</xdr:colOff>
                    <xdr:row>35</xdr:row>
                    <xdr:rowOff>57150</xdr:rowOff>
                  </from>
                  <to>
                    <xdr:col>3</xdr:col>
                    <xdr:colOff>411480</xdr:colOff>
                    <xdr:row>36</xdr:row>
                    <xdr:rowOff>95250</xdr:rowOff>
                  </to>
                </anchor>
              </controlPr>
            </control>
          </mc:Choice>
        </mc:AlternateContent>
        <mc:AlternateContent xmlns:mc="http://schemas.openxmlformats.org/markup-compatibility/2006">
          <mc:Choice Requires="x14">
            <control shapeId="3370" r:id="rId14" name="Option Button 298">
              <controlPr defaultSize="0" autoFill="0" autoLine="0" autoPict="0">
                <anchor moveWithCells="1">
                  <from>
                    <xdr:col>2</xdr:col>
                    <xdr:colOff>106680</xdr:colOff>
                    <xdr:row>36</xdr:row>
                    <xdr:rowOff>57150</xdr:rowOff>
                  </from>
                  <to>
                    <xdr:col>3</xdr:col>
                    <xdr:colOff>411480</xdr:colOff>
                    <xdr:row>37</xdr:row>
                    <xdr:rowOff>87630</xdr:rowOff>
                  </to>
                </anchor>
              </controlPr>
            </control>
          </mc:Choice>
        </mc:AlternateContent>
        <mc:AlternateContent xmlns:mc="http://schemas.openxmlformats.org/markup-compatibility/2006">
          <mc:Choice Requires="x14">
            <control shapeId="3898" r:id="rId15" name="List Box 826">
              <controlPr defaultSize="0" autoLine="0" autoPict="0">
                <anchor moveWithCells="1">
                  <from>
                    <xdr:col>1</xdr:col>
                    <xdr:colOff>68580</xdr:colOff>
                    <xdr:row>30</xdr:row>
                    <xdr:rowOff>133350</xdr:rowOff>
                  </from>
                  <to>
                    <xdr:col>4</xdr:col>
                    <xdr:colOff>76200</xdr:colOff>
                    <xdr:row>33</xdr:row>
                    <xdr:rowOff>133350</xdr:rowOff>
                  </to>
                </anchor>
              </controlPr>
            </control>
          </mc:Choice>
        </mc:AlternateContent>
        <mc:AlternateContent xmlns:mc="http://schemas.openxmlformats.org/markup-compatibility/2006">
          <mc:Choice Requires="x14">
            <control shapeId="40032" r:id="rId16" name="Option Button 2144">
              <controlPr defaultSize="0" autoFill="0" autoLine="0" autoPict="0" altText="CUBE Tower">
                <anchor moveWithCells="1">
                  <from>
                    <xdr:col>1</xdr:col>
                    <xdr:colOff>114300</xdr:colOff>
                    <xdr:row>13</xdr:row>
                    <xdr:rowOff>182880</xdr:rowOff>
                  </from>
                  <to>
                    <xdr:col>4</xdr:col>
                    <xdr:colOff>982980</xdr:colOff>
                    <xdr:row>15</xdr:row>
                    <xdr:rowOff>11430</xdr:rowOff>
                  </to>
                </anchor>
              </controlPr>
            </control>
          </mc:Choice>
        </mc:AlternateContent>
        <mc:AlternateContent xmlns:mc="http://schemas.openxmlformats.org/markup-compatibility/2006">
          <mc:Choice Requires="x14">
            <control shapeId="40131" r:id="rId17" name="Group Box 2243">
              <controlPr defaultSize="0" autoFill="0" autoPict="0" altText="">
                <anchor moveWithCells="1">
                  <from>
                    <xdr:col>1</xdr:col>
                    <xdr:colOff>38100</xdr:colOff>
                    <xdr:row>3</xdr:row>
                    <xdr:rowOff>171450</xdr:rowOff>
                  </from>
                  <to>
                    <xdr:col>4</xdr:col>
                    <xdr:colOff>1383030</xdr:colOff>
                    <xdr:row>16</xdr:row>
                    <xdr:rowOff>30480</xdr:rowOff>
                  </to>
                </anchor>
              </controlPr>
            </control>
          </mc:Choice>
        </mc:AlternateContent>
        <mc:AlternateContent xmlns:mc="http://schemas.openxmlformats.org/markup-compatibility/2006">
          <mc:Choice Requires="x14">
            <control shapeId="40141" r:id="rId18" name="Option Button 2253">
              <controlPr defaultSize="0" autoFill="0" autoLine="0" autoPict="0">
                <anchor moveWithCells="1">
                  <from>
                    <xdr:col>1</xdr:col>
                    <xdr:colOff>114300</xdr:colOff>
                    <xdr:row>14</xdr:row>
                    <xdr:rowOff>190500</xdr:rowOff>
                  </from>
                  <to>
                    <xdr:col>4</xdr:col>
                    <xdr:colOff>182880</xdr:colOff>
                    <xdr:row>15</xdr:row>
                    <xdr:rowOff>209550</xdr:rowOff>
                  </to>
                </anchor>
              </controlPr>
            </control>
          </mc:Choice>
        </mc:AlternateContent>
        <mc:AlternateContent xmlns:mc="http://schemas.openxmlformats.org/markup-compatibility/2006">
          <mc:Choice Requires="x14">
            <control shapeId="40889" r:id="rId19" name="Option Button 3001">
              <controlPr defaultSize="0" autoFill="0" autoLine="0" autoPict="0" altText="Common Uniform Building Envelope (CUBE)">
                <anchor moveWithCells="1">
                  <from>
                    <xdr:col>1</xdr:col>
                    <xdr:colOff>87630</xdr:colOff>
                    <xdr:row>10</xdr:row>
                    <xdr:rowOff>171450</xdr:rowOff>
                  </from>
                  <to>
                    <xdr:col>4</xdr:col>
                    <xdr:colOff>933450</xdr:colOff>
                    <xdr:row>12</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M52"/>
  <sheetViews>
    <sheetView zoomScale="70" zoomScaleNormal="70" workbookViewId="0">
      <selection activeCell="F22" sqref="F22"/>
    </sheetView>
  </sheetViews>
  <sheetFormatPr defaultRowHeight="14.4" x14ac:dyDescent="0.55000000000000004"/>
  <cols>
    <col min="2" max="2" width="30.68359375" bestFit="1" customWidth="1"/>
    <col min="3" max="3" width="56.83984375" customWidth="1"/>
    <col min="4" max="4" width="16.15625" customWidth="1"/>
    <col min="5" max="5" width="28.68359375" bestFit="1" customWidth="1"/>
    <col min="6" max="6" width="15" customWidth="1"/>
    <col min="7" max="7" width="32.68359375" customWidth="1"/>
    <col min="9" max="9" width="9.15625" customWidth="1"/>
    <col min="12" max="12" width="12.26171875" bestFit="1" customWidth="1"/>
    <col min="13" max="13" width="11.15625" bestFit="1" customWidth="1"/>
    <col min="18" max="18" width="45.15625" customWidth="1"/>
    <col min="19" max="21" width="54" customWidth="1"/>
    <col min="22" max="22" width="8.68359375" bestFit="1" customWidth="1"/>
    <col min="23" max="23" width="7" customWidth="1"/>
    <col min="24" max="24" width="9.26171875" customWidth="1"/>
    <col min="29" max="29" width="11.15625" bestFit="1" customWidth="1"/>
    <col min="37" max="37" width="14.68359375" bestFit="1" customWidth="1"/>
  </cols>
  <sheetData>
    <row r="1" spans="1:39" x14ac:dyDescent="0.55000000000000004">
      <c r="A1" s="77" t="str">
        <f>VLOOKUP(DropdownsDNT!Q1,DropdownsDNT!W18:Z21,4,FALSE)</f>
        <v>Protected Roof w/Parapet</v>
      </c>
      <c r="B1" s="77">
        <v>5</v>
      </c>
      <c r="C1" s="77" t="str">
        <f>VLOOKUP(B1, DropdownsDNT!B3:C11, 2, FALSE)</f>
        <v>Standard Adaptive Facility Envelope (SAFE1) Single Story</v>
      </c>
      <c r="D1" s="77" t="str">
        <f>IF(B1=1, "Common Uniform Building Envelope (CUBE)", IF(B48=TRUE,"14 Bay",IF(B49=TRUE,"Two Story",IF(B1=3,"MUTE",IF(B1=8,"CUBE Tower","Two Story CUBE")))))</f>
        <v>14 Bay</v>
      </c>
      <c r="E1" s="77">
        <f>DropdownsDNT!D33</f>
        <v>0</v>
      </c>
      <c r="F1" s="77" t="str">
        <f>DropdownsDNT!H36</f>
        <v>Blank Floor Plan</v>
      </c>
      <c r="G1" s="77"/>
      <c r="H1" s="77"/>
      <c r="I1" s="77"/>
      <c r="J1" s="77" t="str">
        <f>VLOOKUP(B1, DropdownsDNT!B3:E11, 4, FALSE)</f>
        <v>SAFE1</v>
      </c>
      <c r="K1" s="77"/>
      <c r="L1" s="77">
        <f>VLOOKUP(M1, C2:K46, 9, FALSE)</f>
        <v>442.5</v>
      </c>
      <c r="M1" s="77">
        <f>VLOOKUP(DropdownsDNT!D36, DONOTTOUCH!P2:T21, 2, FALSE)</f>
        <v>3</v>
      </c>
      <c r="N1" s="77"/>
      <c r="O1" s="77"/>
      <c r="P1" s="77"/>
      <c r="Q1" s="77"/>
      <c r="AK1" t="s">
        <v>277</v>
      </c>
    </row>
    <row r="2" spans="1:39" x14ac:dyDescent="0.55000000000000004">
      <c r="B2" t="s">
        <v>25</v>
      </c>
      <c r="C2">
        <v>2</v>
      </c>
      <c r="D2" t="s">
        <v>25</v>
      </c>
      <c r="E2">
        <v>0</v>
      </c>
      <c r="F2">
        <v>0</v>
      </c>
      <c r="G2" t="s">
        <v>247</v>
      </c>
      <c r="H2">
        <v>0</v>
      </c>
      <c r="I2">
        <v>0</v>
      </c>
      <c r="J2">
        <v>0</v>
      </c>
      <c r="K2">
        <v>35.67</v>
      </c>
      <c r="L2">
        <v>0</v>
      </c>
      <c r="M2">
        <v>0</v>
      </c>
      <c r="N2" s="77" t="str">
        <f>IF($B2=$D$1, VLOOKUP($D$1, B2:$J$46, 2, FALSE), "")</f>
        <v/>
      </c>
      <c r="O2" s="77">
        <f>SMALL($N$2:$N$46,ROW(B1))</f>
        <v>3</v>
      </c>
      <c r="P2" s="77">
        <v>1</v>
      </c>
      <c r="Q2" s="77">
        <f t="shared" ref="Q2:Q7" si="0">IFERROR(O2, "")</f>
        <v>3</v>
      </c>
      <c r="R2" s="77" t="str">
        <f>IF($Q2="", "", VLOOKUP($Q2, $C$2:$J$113, 5, FALSE))</f>
        <v>Blank Floor Plan</v>
      </c>
      <c r="S2">
        <f>IF($Q2="", "", VLOOKUP($Q2, $C$2:$J$113, 3, FALSE))</f>
        <v>0</v>
      </c>
      <c r="T2" t="str">
        <f>IF(Q2="", "", R2)</f>
        <v>Blank Floor Plan</v>
      </c>
      <c r="U2">
        <f t="shared" ref="U2:U7" si="1">Q2</f>
        <v>3</v>
      </c>
      <c r="V2" t="str">
        <f>VLOOKUP($Q2, $C$2:$K$113, 2, FALSE)</f>
        <v>14 Bay</v>
      </c>
      <c r="W2">
        <f>VLOOKUP($Q2, $C$2:$K$113, 4, FALSE)</f>
        <v>0</v>
      </c>
      <c r="X2">
        <f>VLOOKUP($Q2, $C$2:$K$113, 6, FALSE)</f>
        <v>0</v>
      </c>
      <c r="Y2">
        <f>VLOOKUP($Q2, $C$2:$K$113, 7, FALSE)</f>
        <v>0</v>
      </c>
      <c r="Z2">
        <f>VLOOKUP($Q2, $C$2:$K$113, 8, FALSE)</f>
        <v>0</v>
      </c>
      <c r="AA2">
        <f>VLOOKUP($Q2, $C$2:$L$113, 9, FALSE)</f>
        <v>442.5</v>
      </c>
      <c r="AB2">
        <f>VLOOKUP($Q2, $C$2:$L$113, 10, FALSE)</f>
        <v>0</v>
      </c>
      <c r="AC2">
        <f>VLOOKUP($Q2, $C$2:$M$113, 11, FALSE)</f>
        <v>0</v>
      </c>
      <c r="AD2">
        <f>VLOOKUP($F$1, $T$2:$Z$36, 2, FALSE)</f>
        <v>3</v>
      </c>
      <c r="AE2" t="str">
        <f>VLOOKUP($F$1, $T$2:$Z$36, 3, FALSE)</f>
        <v>14 Bay</v>
      </c>
      <c r="AF2">
        <f>VLOOKUP($F$1, $T$2:$Z$36, 4, FALSE)</f>
        <v>0</v>
      </c>
      <c r="AG2">
        <f>VLOOKUP($F$1, $T$2:$Z$36, 5, FALSE)</f>
        <v>0</v>
      </c>
      <c r="AH2">
        <f>VLOOKUP($F$1, $T$2:$Z$36, 6, FALSE)</f>
        <v>0</v>
      </c>
      <c r="AI2">
        <f>VLOOKUP($F$1, $T$2:$Z$36, 7, FALSE)</f>
        <v>0</v>
      </c>
      <c r="AK2">
        <f>VLOOKUP($F$1, $T$2:$AB$36, 9, FALSE)*0.85</f>
        <v>0</v>
      </c>
      <c r="AL2">
        <f>VLOOKUP($F$1, $T$2:$AC$36, 10, FALSE)</f>
        <v>0</v>
      </c>
      <c r="AM2">
        <f>IF(DropdownsDNT!E48=1, DONOTTOUCH!AK2, DONOTTOUCH!AL2)</f>
        <v>0</v>
      </c>
    </row>
    <row r="3" spans="1:39" x14ac:dyDescent="0.55000000000000004">
      <c r="B3" t="s">
        <v>95</v>
      </c>
      <c r="C3">
        <v>3</v>
      </c>
      <c r="D3" t="s">
        <v>95</v>
      </c>
      <c r="E3">
        <v>0</v>
      </c>
      <c r="F3">
        <v>0</v>
      </c>
      <c r="G3" t="s">
        <v>247</v>
      </c>
      <c r="H3">
        <v>0</v>
      </c>
      <c r="I3">
        <v>0</v>
      </c>
      <c r="J3">
        <v>0</v>
      </c>
      <c r="K3">
        <v>442.5</v>
      </c>
      <c r="L3">
        <v>0</v>
      </c>
      <c r="M3">
        <v>0</v>
      </c>
      <c r="N3" s="77">
        <f>IF($B3=$D$1, VLOOKUP($D$1, B3:$J$46, 2, FALSE), "")</f>
        <v>3</v>
      </c>
      <c r="O3" s="77">
        <f>SMALL($N$2:$N$46,ROW(B2))</f>
        <v>17</v>
      </c>
      <c r="P3" s="77">
        <v>2</v>
      </c>
      <c r="Q3" s="77">
        <f t="shared" si="0"/>
        <v>17</v>
      </c>
      <c r="R3" s="77" t="str">
        <f>IF($Q3="", "", VLOOKUP($Q3, $C$2:$J$113, 5, FALSE))</f>
        <v>Housing 14 Bay, 48 PN with Latrine/shower</v>
      </c>
      <c r="S3" t="str">
        <f t="shared" ref="S3:S25" si="2">IF($Q3="", "", VLOOKUP($Q3, $C$2:$J$113, 3, FALSE))</f>
        <v>Housing</v>
      </c>
      <c r="T3" t="str">
        <f>IF(Q3="", "", R3)</f>
        <v>Housing 14 Bay, 48 PN with Latrine/shower</v>
      </c>
      <c r="U3">
        <f t="shared" si="1"/>
        <v>17</v>
      </c>
      <c r="V3" t="str">
        <f t="shared" ref="V3:V25" si="3">VLOOKUP($Q3, $C$2:$K$113, 2, FALSE)</f>
        <v>14 Bay</v>
      </c>
      <c r="W3">
        <f t="shared" ref="W3:W25" si="4">VLOOKUP($Q3, $C$2:$K$113, 4, FALSE)</f>
        <v>0</v>
      </c>
      <c r="X3">
        <f t="shared" ref="X3:X25" si="5">VLOOKUP($Q3, $C$2:$K$113, 6, FALSE)</f>
        <v>0</v>
      </c>
      <c r="Y3">
        <f t="shared" ref="Y3:Y25" si="6">VLOOKUP($Q3, $C$2:$K$113, 7, FALSE)</f>
        <v>0</v>
      </c>
      <c r="Z3">
        <f t="shared" ref="Z3:Z25" si="7">VLOOKUP($Q3, $C$2:$K$113, 8, FALSE)</f>
        <v>0</v>
      </c>
      <c r="AA3">
        <f t="shared" ref="AA3:AA25" si="8">VLOOKUP($Q3, $C$2:$L$113, 9, FALSE)</f>
        <v>442.5</v>
      </c>
      <c r="AB3">
        <f t="shared" ref="AB3:AB25" si="9">VLOOKUP($Q3, $C$2:$L$113, 10, FALSE)</f>
        <v>233615.80000000002</v>
      </c>
      <c r="AC3">
        <f t="shared" ref="AC3:AC25" si="10">VLOOKUP($Q3, $C$2:$M$113, 11, FALSE)</f>
        <v>303700.54000000004</v>
      </c>
    </row>
    <row r="4" spans="1:39" x14ac:dyDescent="0.55000000000000004">
      <c r="B4" t="s">
        <v>261</v>
      </c>
      <c r="C4">
        <v>4</v>
      </c>
      <c r="D4" t="s">
        <v>261</v>
      </c>
      <c r="E4">
        <v>0</v>
      </c>
      <c r="F4">
        <v>0</v>
      </c>
      <c r="G4" t="s">
        <v>247</v>
      </c>
      <c r="H4">
        <v>0</v>
      </c>
      <c r="I4">
        <v>0</v>
      </c>
      <c r="J4">
        <v>0</v>
      </c>
      <c r="K4">
        <v>442.5</v>
      </c>
      <c r="L4">
        <v>0</v>
      </c>
      <c r="M4">
        <v>0</v>
      </c>
      <c r="N4" s="77" t="str">
        <f>IF($B4=$D$1, VLOOKUP($D$1, B4:$J$46, 2, FALSE), "")</f>
        <v/>
      </c>
      <c r="O4" s="77">
        <f>SMALL($N$2:$N$46,ROW(B3))</f>
        <v>18</v>
      </c>
      <c r="P4" s="77">
        <v>3</v>
      </c>
      <c r="Q4" s="77">
        <f t="shared" si="0"/>
        <v>18</v>
      </c>
      <c r="R4" s="77" t="str">
        <f t="shared" ref="R4:R25" si="11">IF($Q4="", "", VLOOKUP($Q4, $C$2:$J$113, 5, FALSE))</f>
        <v>Housing, 14 bay, 56 PN full floor open</v>
      </c>
      <c r="S4" t="str">
        <f t="shared" si="2"/>
        <v>Housing</v>
      </c>
      <c r="T4" t="str">
        <f t="shared" ref="T4:T25" si="12">IF(Q4="", "", R4)</f>
        <v>Housing, 14 bay, 56 PN full floor open</v>
      </c>
      <c r="U4">
        <f t="shared" si="1"/>
        <v>18</v>
      </c>
      <c r="V4" t="str">
        <f t="shared" si="3"/>
        <v>14 Bay</v>
      </c>
      <c r="W4">
        <f t="shared" si="4"/>
        <v>0</v>
      </c>
      <c r="X4">
        <f t="shared" si="5"/>
        <v>0</v>
      </c>
      <c r="Y4">
        <f t="shared" si="6"/>
        <v>0</v>
      </c>
      <c r="Z4">
        <f t="shared" si="7"/>
        <v>0</v>
      </c>
      <c r="AA4">
        <f t="shared" si="8"/>
        <v>442.5</v>
      </c>
      <c r="AB4">
        <f t="shared" si="9"/>
        <v>196682.2</v>
      </c>
      <c r="AC4">
        <f t="shared" si="10"/>
        <v>255686.86000000002</v>
      </c>
    </row>
    <row r="5" spans="1:39" x14ac:dyDescent="0.55000000000000004">
      <c r="B5" t="s">
        <v>117</v>
      </c>
      <c r="C5">
        <v>5</v>
      </c>
      <c r="D5" t="s">
        <v>117</v>
      </c>
      <c r="E5">
        <v>0</v>
      </c>
      <c r="F5">
        <v>0</v>
      </c>
      <c r="G5" t="s">
        <v>247</v>
      </c>
      <c r="H5">
        <v>0</v>
      </c>
      <c r="I5">
        <v>0</v>
      </c>
      <c r="K5">
        <v>390</v>
      </c>
      <c r="L5">
        <v>0</v>
      </c>
      <c r="M5">
        <v>0</v>
      </c>
      <c r="N5" s="77" t="str">
        <f>IF($B5=$D$1, VLOOKUP($D$1, B5:$J$46, 2, FALSE), "")</f>
        <v/>
      </c>
      <c r="O5" s="77">
        <f>SMALL($N$2:$N$46,ROW(B4))</f>
        <v>19</v>
      </c>
      <c r="P5" s="77">
        <v>4</v>
      </c>
      <c r="Q5" s="77">
        <f t="shared" si="0"/>
        <v>19</v>
      </c>
      <c r="R5" s="77" t="str">
        <f t="shared" si="11"/>
        <v>Low Density Barracks, 14 Bay, 24PN</v>
      </c>
      <c r="S5" t="str">
        <f t="shared" si="2"/>
        <v>Housing</v>
      </c>
      <c r="T5" t="str">
        <f t="shared" si="12"/>
        <v>Low Density Barracks, 14 Bay, 24PN</v>
      </c>
      <c r="U5">
        <f t="shared" si="1"/>
        <v>19</v>
      </c>
      <c r="V5" t="str">
        <f t="shared" si="3"/>
        <v>14 Bay</v>
      </c>
      <c r="W5">
        <f t="shared" si="4"/>
        <v>0</v>
      </c>
      <c r="X5">
        <f t="shared" si="5"/>
        <v>0</v>
      </c>
      <c r="Y5">
        <f t="shared" si="6"/>
        <v>0</v>
      </c>
      <c r="Z5">
        <f t="shared" si="7"/>
        <v>0</v>
      </c>
      <c r="AA5">
        <f t="shared" si="8"/>
        <v>442.5</v>
      </c>
      <c r="AB5">
        <f t="shared" si="9"/>
        <v>357500</v>
      </c>
      <c r="AC5">
        <f t="shared" si="10"/>
        <v>464750</v>
      </c>
      <c r="AJ5" t="s">
        <v>278</v>
      </c>
      <c r="AK5">
        <f>VLOOKUP(J1,DropdownsDNT!D50:H58, 5, FALSE)</f>
        <v>665000</v>
      </c>
    </row>
    <row r="6" spans="1:39" x14ac:dyDescent="0.55000000000000004">
      <c r="B6" t="s">
        <v>25</v>
      </c>
      <c r="C6">
        <v>6</v>
      </c>
      <c r="D6" t="s">
        <v>25</v>
      </c>
      <c r="E6" t="s">
        <v>93</v>
      </c>
      <c r="F6" t="s">
        <v>241</v>
      </c>
      <c r="G6" t="s">
        <v>96</v>
      </c>
      <c r="H6">
        <v>0</v>
      </c>
      <c r="I6">
        <v>0</v>
      </c>
      <c r="J6">
        <v>0</v>
      </c>
      <c r="K6">
        <v>35.67</v>
      </c>
      <c r="L6">
        <v>3000</v>
      </c>
      <c r="M6">
        <v>3900</v>
      </c>
      <c r="N6" s="77" t="str">
        <f>IF($B6=$D$1, VLOOKUP($D$1, B6:$J$46, 2, FALSE), "")</f>
        <v/>
      </c>
      <c r="O6" s="77">
        <f t="shared" ref="O6:O45" si="13">SMALL($N$2:$N$46,ROW(B6))</f>
        <v>21</v>
      </c>
      <c r="P6" s="77">
        <v>5</v>
      </c>
      <c r="Q6" s="77">
        <f t="shared" si="0"/>
        <v>21</v>
      </c>
      <c r="R6" s="77" t="str">
        <f t="shared" si="11"/>
        <v>Low Density Barracks, 14 Bay, W/Bath, 12PN</v>
      </c>
      <c r="S6" t="str">
        <f t="shared" si="2"/>
        <v>Housing</v>
      </c>
      <c r="T6" t="str">
        <f t="shared" si="12"/>
        <v>Low Density Barracks, 14 Bay, W/Bath, 12PN</v>
      </c>
      <c r="U6">
        <f t="shared" si="1"/>
        <v>21</v>
      </c>
      <c r="V6" t="str">
        <f t="shared" si="3"/>
        <v>14 Bay</v>
      </c>
      <c r="W6">
        <f t="shared" si="4"/>
        <v>0</v>
      </c>
      <c r="X6">
        <f t="shared" si="5"/>
        <v>0</v>
      </c>
      <c r="Y6">
        <f t="shared" si="6"/>
        <v>0</v>
      </c>
      <c r="Z6">
        <f t="shared" si="7"/>
        <v>0</v>
      </c>
      <c r="AA6">
        <f t="shared" si="8"/>
        <v>442.5</v>
      </c>
      <c r="AB6">
        <f t="shared" si="9"/>
        <v>418000.00000000006</v>
      </c>
      <c r="AC6">
        <f t="shared" si="10"/>
        <v>543400.00000000012</v>
      </c>
      <c r="AJ6" t="s">
        <v>279</v>
      </c>
      <c r="AK6">
        <f>VLOOKUP(A1,DropdownsDNT!S2:U9, 3, FALSE)</f>
        <v>165000</v>
      </c>
    </row>
    <row r="7" spans="1:39" x14ac:dyDescent="0.55000000000000004">
      <c r="B7" t="s">
        <v>25</v>
      </c>
      <c r="C7">
        <v>7</v>
      </c>
      <c r="D7" t="s">
        <v>25</v>
      </c>
      <c r="E7" t="s">
        <v>41</v>
      </c>
      <c r="F7" t="s">
        <v>122</v>
      </c>
      <c r="G7" t="s">
        <v>97</v>
      </c>
      <c r="H7">
        <v>0</v>
      </c>
      <c r="I7">
        <v>0</v>
      </c>
      <c r="J7">
        <v>0</v>
      </c>
      <c r="K7">
        <v>35.67</v>
      </c>
      <c r="L7">
        <v>3000</v>
      </c>
      <c r="M7">
        <v>3900</v>
      </c>
      <c r="N7" s="77" t="str">
        <f>IF($B7=$D$1, VLOOKUP($D$1, B7:$J$46, 2, FALSE), "")</f>
        <v/>
      </c>
      <c r="O7" s="77">
        <f t="shared" si="13"/>
        <v>22</v>
      </c>
      <c r="P7" s="77">
        <v>6</v>
      </c>
      <c r="Q7" s="77">
        <f t="shared" si="0"/>
        <v>22</v>
      </c>
      <c r="R7" s="77" t="str">
        <f t="shared" si="11"/>
        <v>Operations Center, 14 Bay, Full Floor</v>
      </c>
      <c r="S7" t="str">
        <f t="shared" si="2"/>
        <v>Operation center</v>
      </c>
      <c r="T7" t="str">
        <f t="shared" si="12"/>
        <v>Operations Center, 14 Bay, Full Floor</v>
      </c>
      <c r="U7">
        <f t="shared" si="1"/>
        <v>22</v>
      </c>
      <c r="V7" t="str">
        <f t="shared" si="3"/>
        <v>14 Bay</v>
      </c>
      <c r="W7">
        <f t="shared" si="4"/>
        <v>0</v>
      </c>
      <c r="X7">
        <f t="shared" si="5"/>
        <v>0</v>
      </c>
      <c r="Y7">
        <f t="shared" si="6"/>
        <v>0</v>
      </c>
      <c r="Z7">
        <f t="shared" si="7"/>
        <v>0</v>
      </c>
      <c r="AA7">
        <f t="shared" si="8"/>
        <v>442.5</v>
      </c>
      <c r="AB7">
        <f t="shared" si="9"/>
        <v>286000</v>
      </c>
      <c r="AC7">
        <f t="shared" si="10"/>
        <v>371800</v>
      </c>
      <c r="AJ7" t="s">
        <v>280</v>
      </c>
      <c r="AK7">
        <f>AK2+AK5+AK6</f>
        <v>830000</v>
      </c>
    </row>
    <row r="8" spans="1:39" x14ac:dyDescent="0.55000000000000004">
      <c r="B8" t="s">
        <v>25</v>
      </c>
      <c r="C8">
        <v>8</v>
      </c>
      <c r="D8" t="s">
        <v>25</v>
      </c>
      <c r="E8" t="s">
        <v>42</v>
      </c>
      <c r="F8" t="s">
        <v>122</v>
      </c>
      <c r="G8" t="s">
        <v>98</v>
      </c>
      <c r="H8">
        <v>0</v>
      </c>
      <c r="I8">
        <v>0</v>
      </c>
      <c r="J8">
        <v>0</v>
      </c>
      <c r="K8">
        <v>35.67</v>
      </c>
      <c r="L8">
        <v>5000</v>
      </c>
      <c r="M8">
        <v>6500</v>
      </c>
      <c r="N8" s="77" t="str">
        <f>IF($B8=$D$1, VLOOKUP($D$1, B8:$J$46, 2, FALSE), "")</f>
        <v/>
      </c>
      <c r="O8" s="77">
        <f t="shared" si="13"/>
        <v>23</v>
      </c>
      <c r="P8" s="77">
        <v>7</v>
      </c>
      <c r="Q8" s="77">
        <f t="shared" ref="Q8:Q25" si="14">IFERROR(O8, "")</f>
        <v>23</v>
      </c>
      <c r="R8" s="77" t="str">
        <f t="shared" si="11"/>
        <v>Operations Center, 14 Bay, Full Floor, Option 2</v>
      </c>
      <c r="S8" t="str">
        <f t="shared" si="2"/>
        <v>Operation center</v>
      </c>
      <c r="T8" t="str">
        <f t="shared" si="12"/>
        <v>Operations Center, 14 Bay, Full Floor, Option 2</v>
      </c>
      <c r="U8">
        <f t="shared" ref="U8:U25" si="15">Q8</f>
        <v>23</v>
      </c>
      <c r="V8" t="str">
        <f t="shared" si="3"/>
        <v>14 Bay</v>
      </c>
      <c r="W8">
        <f t="shared" si="4"/>
        <v>0</v>
      </c>
      <c r="X8">
        <f t="shared" si="5"/>
        <v>0</v>
      </c>
      <c r="Y8">
        <f t="shared" si="6"/>
        <v>0</v>
      </c>
      <c r="Z8">
        <f t="shared" si="7"/>
        <v>0</v>
      </c>
      <c r="AA8">
        <f t="shared" si="8"/>
        <v>442.5</v>
      </c>
      <c r="AB8">
        <f t="shared" si="9"/>
        <v>286000</v>
      </c>
      <c r="AC8">
        <f t="shared" si="10"/>
        <v>371800</v>
      </c>
      <c r="AK8">
        <f>AK7/L1</f>
        <v>1875.7062146892656</v>
      </c>
    </row>
    <row r="9" spans="1:39" x14ac:dyDescent="0.55000000000000004">
      <c r="B9" t="s">
        <v>25</v>
      </c>
      <c r="C9">
        <v>9</v>
      </c>
      <c r="D9" t="s">
        <v>25</v>
      </c>
      <c r="E9" t="s">
        <v>44</v>
      </c>
      <c r="F9" t="s">
        <v>122</v>
      </c>
      <c r="G9" t="s">
        <v>87</v>
      </c>
      <c r="H9">
        <v>0</v>
      </c>
      <c r="I9">
        <v>0</v>
      </c>
      <c r="J9">
        <v>0</v>
      </c>
      <c r="K9">
        <v>35.67</v>
      </c>
      <c r="L9">
        <v>4500</v>
      </c>
      <c r="M9">
        <v>5850</v>
      </c>
      <c r="N9" s="77" t="str">
        <f>IF($B9=$D$1, VLOOKUP($D$1, B9:$J$46, 2, FALSE), "")</f>
        <v/>
      </c>
      <c r="O9" s="77">
        <f t="shared" si="13"/>
        <v>24</v>
      </c>
      <c r="P9" s="77">
        <v>8</v>
      </c>
      <c r="Q9" s="77">
        <f t="shared" si="14"/>
        <v>24</v>
      </c>
      <c r="R9" s="77" t="str">
        <f t="shared" si="11"/>
        <v>Headquarters, 14 Bay, Full Floor, 41PN</v>
      </c>
      <c r="S9" t="str">
        <f t="shared" si="2"/>
        <v>Headquarters</v>
      </c>
      <c r="T9" t="str">
        <f t="shared" si="12"/>
        <v>Headquarters, 14 Bay, Full Floor, 41PN</v>
      </c>
      <c r="U9">
        <f t="shared" si="15"/>
        <v>24</v>
      </c>
      <c r="V9" t="str">
        <f t="shared" si="3"/>
        <v>14 Bay</v>
      </c>
      <c r="W9">
        <f t="shared" si="4"/>
        <v>0</v>
      </c>
      <c r="X9">
        <f t="shared" si="5"/>
        <v>0</v>
      </c>
      <c r="Y9">
        <f t="shared" si="6"/>
        <v>0</v>
      </c>
      <c r="Z9">
        <f t="shared" si="7"/>
        <v>0</v>
      </c>
      <c r="AA9">
        <f t="shared" si="8"/>
        <v>442.5</v>
      </c>
      <c r="AB9">
        <f t="shared" si="9"/>
        <v>330000</v>
      </c>
      <c r="AC9">
        <f t="shared" si="10"/>
        <v>429000</v>
      </c>
    </row>
    <row r="10" spans="1:39" x14ac:dyDescent="0.55000000000000004">
      <c r="B10" t="s">
        <v>25</v>
      </c>
      <c r="C10">
        <v>10</v>
      </c>
      <c r="D10" t="s">
        <v>25</v>
      </c>
      <c r="E10" t="s">
        <v>44</v>
      </c>
      <c r="F10" t="s">
        <v>122</v>
      </c>
      <c r="G10" t="s">
        <v>88</v>
      </c>
      <c r="H10">
        <v>0</v>
      </c>
      <c r="I10">
        <v>0</v>
      </c>
      <c r="J10">
        <v>0</v>
      </c>
      <c r="K10">
        <v>35.67</v>
      </c>
      <c r="L10">
        <v>4000</v>
      </c>
      <c r="M10">
        <v>5200</v>
      </c>
      <c r="N10" s="77" t="str">
        <f>IF($B10=$D$1, VLOOKUP($D$1, B10:$J$46, 2, FALSE), "")</f>
        <v/>
      </c>
      <c r="O10" s="77">
        <f t="shared" si="13"/>
        <v>25</v>
      </c>
      <c r="P10" s="77">
        <v>9</v>
      </c>
      <c r="Q10" s="77">
        <f t="shared" si="14"/>
        <v>25</v>
      </c>
      <c r="R10" s="77" t="str">
        <f t="shared" si="11"/>
        <v>Dining Facility, 500 PN, 14 Bay, 72PN</v>
      </c>
      <c r="S10" t="str">
        <f t="shared" si="2"/>
        <v>Dining Facility</v>
      </c>
      <c r="T10" t="str">
        <f t="shared" si="12"/>
        <v>Dining Facility, 500 PN, 14 Bay, 72PN</v>
      </c>
      <c r="U10">
        <f t="shared" si="15"/>
        <v>25</v>
      </c>
      <c r="V10" t="str">
        <f t="shared" si="3"/>
        <v>14 Bay</v>
      </c>
      <c r="W10">
        <f t="shared" si="4"/>
        <v>0</v>
      </c>
      <c r="X10">
        <f t="shared" si="5"/>
        <v>0</v>
      </c>
      <c r="Y10">
        <f t="shared" si="6"/>
        <v>0</v>
      </c>
      <c r="Z10">
        <f t="shared" si="7"/>
        <v>0</v>
      </c>
      <c r="AA10">
        <f t="shared" si="8"/>
        <v>442.5</v>
      </c>
      <c r="AB10">
        <f t="shared" si="9"/>
        <v>385000.00000000006</v>
      </c>
      <c r="AC10">
        <f t="shared" si="10"/>
        <v>500500.00000000012</v>
      </c>
    </row>
    <row r="11" spans="1:39" x14ac:dyDescent="0.55000000000000004">
      <c r="B11" t="s">
        <v>25</v>
      </c>
      <c r="C11">
        <v>11</v>
      </c>
      <c r="D11" t="s">
        <v>25</v>
      </c>
      <c r="E11" t="s">
        <v>44</v>
      </c>
      <c r="F11" t="s">
        <v>122</v>
      </c>
      <c r="G11" t="s">
        <v>99</v>
      </c>
      <c r="H11">
        <v>0</v>
      </c>
      <c r="I11">
        <v>0</v>
      </c>
      <c r="J11">
        <v>0</v>
      </c>
      <c r="K11">
        <v>35.67</v>
      </c>
      <c r="L11">
        <v>3000</v>
      </c>
      <c r="M11">
        <v>3900</v>
      </c>
      <c r="N11" s="77" t="str">
        <f>IF($B11=$D$1, VLOOKUP($D$1, B11:$J$46, 2, FALSE), "")</f>
        <v/>
      </c>
      <c r="O11" s="77">
        <f t="shared" si="13"/>
        <v>26</v>
      </c>
      <c r="P11" s="77">
        <v>10</v>
      </c>
      <c r="Q11" s="77">
        <f t="shared" si="14"/>
        <v>26</v>
      </c>
      <c r="R11" s="77" t="str">
        <f t="shared" si="11"/>
        <v>Dining Facility, 224PN, 14 Bay, Full Floor Seating</v>
      </c>
      <c r="S11" t="str">
        <f t="shared" si="2"/>
        <v>Dining Facility</v>
      </c>
      <c r="T11" t="str">
        <f t="shared" si="12"/>
        <v>Dining Facility, 224PN, 14 Bay, Full Floor Seating</v>
      </c>
      <c r="U11">
        <f t="shared" si="15"/>
        <v>26</v>
      </c>
      <c r="V11" t="str">
        <f t="shared" si="3"/>
        <v>14 Bay</v>
      </c>
      <c r="W11">
        <f t="shared" si="4"/>
        <v>0</v>
      </c>
      <c r="X11">
        <f t="shared" si="5"/>
        <v>0</v>
      </c>
      <c r="Y11">
        <f t="shared" si="6"/>
        <v>0</v>
      </c>
      <c r="Z11">
        <f t="shared" si="7"/>
        <v>0</v>
      </c>
      <c r="AA11">
        <f t="shared" si="8"/>
        <v>442.5</v>
      </c>
      <c r="AB11">
        <f t="shared" si="9"/>
        <v>220000.00000000003</v>
      </c>
      <c r="AC11">
        <f t="shared" si="10"/>
        <v>286000.00000000006</v>
      </c>
    </row>
    <row r="12" spans="1:39" x14ac:dyDescent="0.55000000000000004">
      <c r="B12" t="s">
        <v>25</v>
      </c>
      <c r="C12">
        <v>12</v>
      </c>
      <c r="D12" t="s">
        <v>25</v>
      </c>
      <c r="E12" t="s">
        <v>44</v>
      </c>
      <c r="F12" t="s">
        <v>122</v>
      </c>
      <c r="G12" t="s">
        <v>100</v>
      </c>
      <c r="H12">
        <v>0</v>
      </c>
      <c r="I12">
        <v>0</v>
      </c>
      <c r="J12">
        <v>0</v>
      </c>
      <c r="K12">
        <v>35.67</v>
      </c>
      <c r="L12">
        <v>4000</v>
      </c>
      <c r="M12">
        <v>5200</v>
      </c>
      <c r="N12" s="77" t="str">
        <f>IF($B12=$D$1, VLOOKUP($D$1, B12:$J$46, 2, FALSE), "")</f>
        <v/>
      </c>
      <c r="O12" s="77">
        <f t="shared" si="13"/>
        <v>27</v>
      </c>
      <c r="P12" s="77">
        <v>11</v>
      </c>
      <c r="Q12" s="77">
        <f t="shared" si="14"/>
        <v>27</v>
      </c>
      <c r="R12" s="77" t="str">
        <f t="shared" si="11"/>
        <v>Joint Operations Center, 14Bay, Full Floor</v>
      </c>
      <c r="S12" t="str">
        <f t="shared" si="2"/>
        <v>Joint Operations Center</v>
      </c>
      <c r="T12" t="str">
        <f t="shared" si="12"/>
        <v>Joint Operations Center, 14Bay, Full Floor</v>
      </c>
      <c r="U12">
        <f t="shared" si="15"/>
        <v>27</v>
      </c>
      <c r="V12" t="str">
        <f t="shared" si="3"/>
        <v>14 Bay</v>
      </c>
      <c r="W12">
        <f t="shared" si="4"/>
        <v>0</v>
      </c>
      <c r="X12">
        <f t="shared" si="5"/>
        <v>0</v>
      </c>
      <c r="Y12">
        <f t="shared" si="6"/>
        <v>0</v>
      </c>
      <c r="Z12">
        <f t="shared" si="7"/>
        <v>0</v>
      </c>
      <c r="AA12">
        <f t="shared" si="8"/>
        <v>442.5</v>
      </c>
      <c r="AB12">
        <f t="shared" si="9"/>
        <v>302500</v>
      </c>
      <c r="AC12">
        <f t="shared" si="10"/>
        <v>393250</v>
      </c>
    </row>
    <row r="13" spans="1:39" x14ac:dyDescent="0.55000000000000004">
      <c r="B13" t="s">
        <v>25</v>
      </c>
      <c r="C13">
        <v>13</v>
      </c>
      <c r="D13" t="s">
        <v>25</v>
      </c>
      <c r="E13" t="s">
        <v>44</v>
      </c>
      <c r="F13" t="s">
        <v>122</v>
      </c>
      <c r="G13" t="s">
        <v>375</v>
      </c>
      <c r="H13">
        <v>0</v>
      </c>
      <c r="I13">
        <v>0</v>
      </c>
      <c r="J13">
        <v>0</v>
      </c>
      <c r="K13">
        <v>35.67</v>
      </c>
      <c r="L13">
        <v>2000</v>
      </c>
      <c r="M13">
        <v>2600</v>
      </c>
      <c r="N13" s="77" t="str">
        <f>IF($B13=$D$1, VLOOKUP($D$1, B13:$J$46, 2, FALSE), "")</f>
        <v/>
      </c>
      <c r="O13" s="77">
        <f t="shared" si="13"/>
        <v>28</v>
      </c>
      <c r="P13" s="77">
        <v>12</v>
      </c>
      <c r="Q13" s="77">
        <f t="shared" si="14"/>
        <v>28</v>
      </c>
      <c r="R13" s="77" t="str">
        <f t="shared" si="11"/>
        <v>Joint Operations Center, 14 Bay, Option 2</v>
      </c>
      <c r="S13" t="str">
        <f t="shared" si="2"/>
        <v>Joint Operations Center</v>
      </c>
      <c r="T13" t="str">
        <f t="shared" si="12"/>
        <v>Joint Operations Center, 14 Bay, Option 2</v>
      </c>
      <c r="U13">
        <f t="shared" si="15"/>
        <v>28</v>
      </c>
      <c r="V13" t="str">
        <f t="shared" si="3"/>
        <v>14 Bay</v>
      </c>
      <c r="W13">
        <f t="shared" si="4"/>
        <v>0</v>
      </c>
      <c r="X13">
        <f t="shared" si="5"/>
        <v>0</v>
      </c>
      <c r="Y13">
        <f t="shared" si="6"/>
        <v>0</v>
      </c>
      <c r="Z13">
        <f t="shared" si="7"/>
        <v>0</v>
      </c>
      <c r="AA13">
        <f t="shared" si="8"/>
        <v>442.5</v>
      </c>
      <c r="AB13">
        <f t="shared" si="9"/>
        <v>275000</v>
      </c>
      <c r="AC13">
        <f t="shared" si="10"/>
        <v>357500</v>
      </c>
    </row>
    <row r="14" spans="1:39" x14ac:dyDescent="0.55000000000000004">
      <c r="B14" t="s">
        <v>25</v>
      </c>
      <c r="C14">
        <v>14</v>
      </c>
      <c r="D14" t="s">
        <v>25</v>
      </c>
      <c r="E14" t="s">
        <v>47</v>
      </c>
      <c r="F14" t="s">
        <v>122</v>
      </c>
      <c r="G14" t="s">
        <v>102</v>
      </c>
      <c r="H14">
        <v>0</v>
      </c>
      <c r="I14">
        <v>0</v>
      </c>
      <c r="J14">
        <v>0</v>
      </c>
      <c r="K14">
        <v>35.67</v>
      </c>
      <c r="L14">
        <v>6000</v>
      </c>
      <c r="M14">
        <v>7800</v>
      </c>
      <c r="N14" s="77" t="str">
        <f>IF($B14=$D$1, VLOOKUP($D$1, B14:$J$46, 2, FALSE), "")</f>
        <v/>
      </c>
      <c r="O14" s="77">
        <f t="shared" si="13"/>
        <v>29</v>
      </c>
      <c r="P14" s="77">
        <v>13</v>
      </c>
      <c r="Q14" s="77">
        <f t="shared" si="14"/>
        <v>29</v>
      </c>
      <c r="R14" s="77" t="str">
        <f t="shared" si="11"/>
        <v>Fitness Center, 14 Bay</v>
      </c>
      <c r="S14" t="str">
        <f t="shared" si="2"/>
        <v>Moral/Welfare/Recreation</v>
      </c>
      <c r="T14" t="str">
        <f t="shared" si="12"/>
        <v>Fitness Center, 14 Bay</v>
      </c>
      <c r="U14">
        <f t="shared" si="15"/>
        <v>29</v>
      </c>
      <c r="V14" t="str">
        <f t="shared" si="3"/>
        <v>14 Bay</v>
      </c>
      <c r="W14">
        <f t="shared" si="4"/>
        <v>0</v>
      </c>
      <c r="X14">
        <f t="shared" si="5"/>
        <v>0</v>
      </c>
      <c r="Y14">
        <f t="shared" si="6"/>
        <v>0</v>
      </c>
      <c r="Z14">
        <f t="shared" si="7"/>
        <v>0</v>
      </c>
      <c r="AA14">
        <f t="shared" si="8"/>
        <v>442.5</v>
      </c>
      <c r="AB14">
        <f t="shared" si="9"/>
        <v>192500.00000000003</v>
      </c>
      <c r="AC14">
        <f t="shared" si="10"/>
        <v>250250.00000000006</v>
      </c>
    </row>
    <row r="15" spans="1:39" x14ac:dyDescent="0.55000000000000004">
      <c r="B15" t="s">
        <v>25</v>
      </c>
      <c r="C15">
        <v>15</v>
      </c>
      <c r="D15" t="s">
        <v>25</v>
      </c>
      <c r="E15" t="s">
        <v>38</v>
      </c>
      <c r="F15" t="s">
        <v>122</v>
      </c>
      <c r="G15" t="s">
        <v>103</v>
      </c>
      <c r="H15">
        <v>0</v>
      </c>
      <c r="I15">
        <v>0</v>
      </c>
      <c r="J15">
        <v>0</v>
      </c>
      <c r="K15">
        <v>35.67</v>
      </c>
      <c r="L15">
        <v>5000</v>
      </c>
      <c r="M15">
        <v>6500</v>
      </c>
      <c r="N15" s="77" t="str">
        <f>IF($B15=$D$1, VLOOKUP($D$1, B15:$J$46, 2, FALSE), "")</f>
        <v/>
      </c>
      <c r="O15" s="77">
        <f t="shared" si="13"/>
        <v>30</v>
      </c>
      <c r="P15" s="77">
        <v>14</v>
      </c>
      <c r="Q15" s="77">
        <f t="shared" si="14"/>
        <v>30</v>
      </c>
      <c r="R15" s="77" t="str">
        <f t="shared" si="11"/>
        <v>Mosque, 14 bay,  full floor</v>
      </c>
      <c r="S15" t="str">
        <f t="shared" si="2"/>
        <v>Mosque</v>
      </c>
      <c r="T15" t="str">
        <f t="shared" si="12"/>
        <v>Mosque, 14 bay,  full floor</v>
      </c>
      <c r="U15">
        <f t="shared" si="15"/>
        <v>30</v>
      </c>
      <c r="V15" t="str">
        <f t="shared" si="3"/>
        <v>14 Bay</v>
      </c>
      <c r="W15">
        <f t="shared" si="4"/>
        <v>0</v>
      </c>
      <c r="X15">
        <f t="shared" si="5"/>
        <v>0</v>
      </c>
      <c r="Y15">
        <f t="shared" si="6"/>
        <v>0</v>
      </c>
      <c r="Z15">
        <f t="shared" si="7"/>
        <v>0</v>
      </c>
      <c r="AA15">
        <f t="shared" si="8"/>
        <v>442.5</v>
      </c>
      <c r="AB15">
        <f t="shared" si="9"/>
        <v>220000.00000000003</v>
      </c>
      <c r="AC15">
        <f t="shared" si="10"/>
        <v>286000.00000000006</v>
      </c>
    </row>
    <row r="16" spans="1:39" x14ac:dyDescent="0.55000000000000004">
      <c r="B16" t="s">
        <v>25</v>
      </c>
      <c r="C16">
        <v>16</v>
      </c>
      <c r="D16" t="s">
        <v>25</v>
      </c>
      <c r="E16" t="s">
        <v>38</v>
      </c>
      <c r="F16" t="s">
        <v>122</v>
      </c>
      <c r="G16" t="s">
        <v>104</v>
      </c>
      <c r="H16">
        <v>0</v>
      </c>
      <c r="I16">
        <v>0</v>
      </c>
      <c r="J16">
        <v>0</v>
      </c>
      <c r="K16">
        <v>35.67</v>
      </c>
      <c r="L16">
        <v>5000</v>
      </c>
      <c r="M16">
        <v>6500</v>
      </c>
      <c r="N16" s="77" t="str">
        <f>IF($B16=$D$1, VLOOKUP($D$1, B16:$J$46, 2, FALSE), "")</f>
        <v/>
      </c>
      <c r="O16" s="77">
        <f t="shared" si="13"/>
        <v>32</v>
      </c>
      <c r="P16" s="77">
        <v>15</v>
      </c>
      <c r="Q16" s="77">
        <f t="shared" si="14"/>
        <v>32</v>
      </c>
      <c r="R16" s="77" t="str">
        <f>IF($Q16="", "", VLOOKUP($Q16, $C$2:$J$113, 5, FALSE))</f>
        <v xml:space="preserve">Latrine/Shower, 240 PN, 14 Bay, Full Floor </v>
      </c>
      <c r="S16" t="str">
        <f t="shared" si="2"/>
        <v>Latrine/shower</v>
      </c>
      <c r="T16" t="str">
        <f t="shared" si="12"/>
        <v xml:space="preserve">Latrine/Shower, 240 PN, 14 Bay, Full Floor </v>
      </c>
      <c r="U16">
        <f t="shared" si="15"/>
        <v>32</v>
      </c>
      <c r="V16" t="str">
        <f t="shared" si="3"/>
        <v>14 Bay</v>
      </c>
      <c r="W16">
        <f t="shared" si="4"/>
        <v>0</v>
      </c>
      <c r="X16">
        <f t="shared" si="5"/>
        <v>0</v>
      </c>
      <c r="Y16">
        <f t="shared" si="6"/>
        <v>0</v>
      </c>
      <c r="Z16">
        <f t="shared" si="7"/>
        <v>0</v>
      </c>
      <c r="AA16">
        <f t="shared" si="8"/>
        <v>442.5</v>
      </c>
      <c r="AB16">
        <f t="shared" si="9"/>
        <v>330000</v>
      </c>
      <c r="AC16">
        <f t="shared" si="10"/>
        <v>429000</v>
      </c>
    </row>
    <row r="17" spans="2:29" x14ac:dyDescent="0.55000000000000004">
      <c r="B17" t="s">
        <v>95</v>
      </c>
      <c r="C17">
        <v>17</v>
      </c>
      <c r="D17" t="s">
        <v>95</v>
      </c>
      <c r="E17" t="s">
        <v>5</v>
      </c>
      <c r="F17">
        <v>0</v>
      </c>
      <c r="G17" t="s">
        <v>252</v>
      </c>
      <c r="H17">
        <v>0</v>
      </c>
      <c r="I17">
        <v>0</v>
      </c>
      <c r="J17">
        <v>0</v>
      </c>
      <c r="K17">
        <v>442.5</v>
      </c>
      <c r="L17">
        <v>233615.80000000002</v>
      </c>
      <c r="M17">
        <v>303700.54000000004</v>
      </c>
      <c r="N17" s="77">
        <f>IF($B17=$D$1, VLOOKUP($D$1, B17:$J$46, 2, FALSE), "")</f>
        <v>17</v>
      </c>
      <c r="O17" s="77">
        <f t="shared" si="13"/>
        <v>33</v>
      </c>
      <c r="P17" s="77">
        <v>16</v>
      </c>
      <c r="Q17" s="77">
        <f t="shared" si="14"/>
        <v>33</v>
      </c>
      <c r="R17" s="77" t="str">
        <f t="shared" si="11"/>
        <v>Laundry, 900 PN, 14 Bay, Full Floor</v>
      </c>
      <c r="S17" t="str">
        <f t="shared" si="2"/>
        <v>Laundry</v>
      </c>
      <c r="T17" t="str">
        <f t="shared" si="12"/>
        <v>Laundry, 900 PN, 14 Bay, Full Floor</v>
      </c>
      <c r="U17">
        <f t="shared" si="15"/>
        <v>33</v>
      </c>
      <c r="V17" t="str">
        <f t="shared" si="3"/>
        <v>14 Bay</v>
      </c>
      <c r="W17">
        <f t="shared" si="4"/>
        <v>0</v>
      </c>
      <c r="X17">
        <f t="shared" si="5"/>
        <v>0</v>
      </c>
      <c r="Y17">
        <f t="shared" si="6"/>
        <v>0</v>
      </c>
      <c r="Z17">
        <f t="shared" si="7"/>
        <v>0</v>
      </c>
      <c r="AA17">
        <f t="shared" si="8"/>
        <v>442.5</v>
      </c>
      <c r="AB17">
        <f t="shared" si="9"/>
        <v>341000</v>
      </c>
      <c r="AC17">
        <f t="shared" si="10"/>
        <v>443300</v>
      </c>
    </row>
    <row r="18" spans="2:29" x14ac:dyDescent="0.55000000000000004">
      <c r="B18" t="s">
        <v>95</v>
      </c>
      <c r="C18">
        <v>18</v>
      </c>
      <c r="D18" t="s">
        <v>95</v>
      </c>
      <c r="E18" t="s">
        <v>5</v>
      </c>
      <c r="F18">
        <v>0</v>
      </c>
      <c r="G18" t="s">
        <v>253</v>
      </c>
      <c r="H18">
        <v>0</v>
      </c>
      <c r="I18">
        <v>0</v>
      </c>
      <c r="J18">
        <v>0</v>
      </c>
      <c r="K18">
        <v>442.5</v>
      </c>
      <c r="L18">
        <v>196682.2</v>
      </c>
      <c r="M18">
        <v>255686.86000000002</v>
      </c>
      <c r="N18" s="77">
        <f>IF($B18=$D$1, VLOOKUP($D$1, B18:$J$46, 2, FALSE), "")</f>
        <v>18</v>
      </c>
      <c r="O18" s="77">
        <f t="shared" si="13"/>
        <v>35</v>
      </c>
      <c r="P18" s="77">
        <v>17</v>
      </c>
      <c r="Q18" s="77">
        <f t="shared" si="14"/>
        <v>35</v>
      </c>
      <c r="R18" s="77" t="str">
        <f t="shared" si="11"/>
        <v>Role 2+ Medical Faciliy, 22 Bay, Full Floor</v>
      </c>
      <c r="S18" t="str">
        <f t="shared" si="2"/>
        <v>Medical Facility</v>
      </c>
      <c r="T18" t="str">
        <f t="shared" si="12"/>
        <v>Role 2+ Medical Faciliy, 22 Bay, Full Floor</v>
      </c>
      <c r="U18">
        <f t="shared" si="15"/>
        <v>35</v>
      </c>
      <c r="V18" t="str">
        <f t="shared" si="3"/>
        <v>14 Bay</v>
      </c>
      <c r="W18">
        <f t="shared" si="4"/>
        <v>0</v>
      </c>
      <c r="X18">
        <f t="shared" si="5"/>
        <v>0</v>
      </c>
      <c r="Y18">
        <f t="shared" si="6"/>
        <v>0</v>
      </c>
      <c r="Z18">
        <f t="shared" si="7"/>
        <v>0</v>
      </c>
      <c r="AA18">
        <f t="shared" si="8"/>
        <v>665.1</v>
      </c>
      <c r="AB18">
        <f t="shared" si="9"/>
        <v>1072500.0000000002</v>
      </c>
      <c r="AC18">
        <f t="shared" si="10"/>
        <v>825000.00000000012</v>
      </c>
    </row>
    <row r="19" spans="2:29" x14ac:dyDescent="0.55000000000000004">
      <c r="B19" t="s">
        <v>95</v>
      </c>
      <c r="C19">
        <v>19</v>
      </c>
      <c r="D19" t="s">
        <v>95</v>
      </c>
      <c r="E19" t="s">
        <v>5</v>
      </c>
      <c r="F19">
        <v>0</v>
      </c>
      <c r="G19" t="s">
        <v>257</v>
      </c>
      <c r="H19">
        <v>0</v>
      </c>
      <c r="I19">
        <v>0</v>
      </c>
      <c r="J19">
        <v>0</v>
      </c>
      <c r="K19">
        <v>442.5</v>
      </c>
      <c r="L19">
        <v>357500</v>
      </c>
      <c r="M19">
        <v>464750</v>
      </c>
      <c r="N19" s="77">
        <f>IF($B19=$D$1, VLOOKUP($D$1, B19:$J$46, 2, FALSE), "")</f>
        <v>19</v>
      </c>
      <c r="O19" s="77">
        <f t="shared" si="13"/>
        <v>36</v>
      </c>
      <c r="P19" s="77">
        <v>18</v>
      </c>
      <c r="Q19" s="77">
        <f t="shared" si="14"/>
        <v>36</v>
      </c>
      <c r="R19" s="77" t="str">
        <f t="shared" si="11"/>
        <v>Role 1 Medical Facility, 14 Bay, Full Floor</v>
      </c>
      <c r="S19" t="str">
        <f t="shared" si="2"/>
        <v>Medical Facility</v>
      </c>
      <c r="T19" t="str">
        <f t="shared" si="12"/>
        <v>Role 1 Medical Facility, 14 Bay, Full Floor</v>
      </c>
      <c r="U19">
        <f t="shared" si="15"/>
        <v>36</v>
      </c>
      <c r="V19" t="str">
        <f t="shared" si="3"/>
        <v>14 Bay</v>
      </c>
      <c r="W19">
        <f t="shared" si="4"/>
        <v>0</v>
      </c>
      <c r="X19">
        <f t="shared" si="5"/>
        <v>0</v>
      </c>
      <c r="Y19">
        <f t="shared" si="6"/>
        <v>0</v>
      </c>
      <c r="Z19">
        <f t="shared" si="7"/>
        <v>0</v>
      </c>
      <c r="AA19">
        <f t="shared" si="8"/>
        <v>442.5</v>
      </c>
      <c r="AB19">
        <f t="shared" si="9"/>
        <v>412500.00000000006</v>
      </c>
      <c r="AC19">
        <f t="shared" si="10"/>
        <v>536250.00000000012</v>
      </c>
    </row>
    <row r="20" spans="2:29" x14ac:dyDescent="0.55000000000000004">
      <c r="B20" t="s">
        <v>95</v>
      </c>
      <c r="C20">
        <v>20</v>
      </c>
      <c r="D20" t="s">
        <v>95</v>
      </c>
      <c r="E20" t="s">
        <v>5</v>
      </c>
      <c r="F20">
        <v>0</v>
      </c>
      <c r="G20" t="s">
        <v>258</v>
      </c>
      <c r="H20">
        <v>0</v>
      </c>
      <c r="I20">
        <v>0</v>
      </c>
      <c r="J20">
        <v>0</v>
      </c>
      <c r="K20">
        <v>442.5</v>
      </c>
      <c r="L20">
        <v>418000.00000000006</v>
      </c>
      <c r="M20">
        <v>543400.00000000012</v>
      </c>
      <c r="N20" s="77">
        <f>IF($B20=$D$1, VLOOKUP($D$1, B20:$J$46, 2, FALSE), "")</f>
        <v>20</v>
      </c>
      <c r="O20" s="77">
        <f t="shared" si="13"/>
        <v>37</v>
      </c>
      <c r="P20" s="77">
        <v>19</v>
      </c>
      <c r="Q20" s="77">
        <f t="shared" si="14"/>
        <v>37</v>
      </c>
      <c r="R20" s="77" t="str">
        <f t="shared" si="11"/>
        <v>Fire Station Admin Facility</v>
      </c>
      <c r="S20" t="str">
        <f t="shared" si="2"/>
        <v>Fire Station</v>
      </c>
      <c r="T20" t="str">
        <f t="shared" si="12"/>
        <v>Fire Station Admin Facility</v>
      </c>
      <c r="U20">
        <f t="shared" si="15"/>
        <v>37</v>
      </c>
      <c r="V20" t="str">
        <f t="shared" si="3"/>
        <v>14 Bay</v>
      </c>
      <c r="W20">
        <f t="shared" si="4"/>
        <v>0</v>
      </c>
      <c r="X20">
        <f t="shared" si="5"/>
        <v>0</v>
      </c>
      <c r="Y20">
        <f t="shared" si="6"/>
        <v>0</v>
      </c>
      <c r="Z20">
        <f t="shared" si="7"/>
        <v>0</v>
      </c>
      <c r="AA20">
        <f t="shared" si="8"/>
        <v>442.5</v>
      </c>
      <c r="AB20">
        <f t="shared" si="9"/>
        <v>308000</v>
      </c>
      <c r="AC20">
        <f t="shared" si="10"/>
        <v>400400</v>
      </c>
    </row>
    <row r="21" spans="2:29" x14ac:dyDescent="0.55000000000000004">
      <c r="B21" t="s">
        <v>95</v>
      </c>
      <c r="C21">
        <v>21</v>
      </c>
      <c r="D21" t="s">
        <v>95</v>
      </c>
      <c r="E21" t="s">
        <v>5</v>
      </c>
      <c r="F21">
        <v>0</v>
      </c>
      <c r="G21" t="s">
        <v>259</v>
      </c>
      <c r="H21">
        <v>0</v>
      </c>
      <c r="I21">
        <v>0</v>
      </c>
      <c r="J21">
        <v>0</v>
      </c>
      <c r="K21">
        <v>442.5</v>
      </c>
      <c r="L21">
        <v>418000.00000000006</v>
      </c>
      <c r="M21">
        <v>543400.00000000012</v>
      </c>
      <c r="N21" s="77">
        <f>IF($B21=$D$1, VLOOKUP($D$1, B21:$J$46, 2, FALSE), "")</f>
        <v>21</v>
      </c>
      <c r="O21" s="77" t="e">
        <f>SMALL($N$2:$N$46,ROW(B21))</f>
        <v>#NUM!</v>
      </c>
      <c r="P21" s="77">
        <v>20</v>
      </c>
      <c r="Q21" s="77" t="str">
        <f t="shared" si="14"/>
        <v/>
      </c>
      <c r="R21" s="77" t="str">
        <f t="shared" si="11"/>
        <v/>
      </c>
      <c r="S21" t="str">
        <f t="shared" si="2"/>
        <v/>
      </c>
      <c r="T21" t="str">
        <f t="shared" si="12"/>
        <v/>
      </c>
      <c r="U21" t="str">
        <f t="shared" si="15"/>
        <v/>
      </c>
      <c r="V21" t="e">
        <f t="shared" si="3"/>
        <v>#N/A</v>
      </c>
      <c r="W21" t="e">
        <f t="shared" si="4"/>
        <v>#N/A</v>
      </c>
      <c r="X21" t="e">
        <f t="shared" si="5"/>
        <v>#N/A</v>
      </c>
      <c r="Y21" t="e">
        <f t="shared" si="6"/>
        <v>#N/A</v>
      </c>
      <c r="Z21" t="e">
        <f t="shared" si="7"/>
        <v>#N/A</v>
      </c>
      <c r="AA21" t="e">
        <f t="shared" si="8"/>
        <v>#N/A</v>
      </c>
      <c r="AB21" t="e">
        <f t="shared" si="9"/>
        <v>#N/A</v>
      </c>
      <c r="AC21" t="e">
        <f t="shared" si="10"/>
        <v>#N/A</v>
      </c>
    </row>
    <row r="22" spans="2:29" x14ac:dyDescent="0.55000000000000004">
      <c r="B22" t="s">
        <v>95</v>
      </c>
      <c r="C22">
        <v>22</v>
      </c>
      <c r="D22" t="s">
        <v>95</v>
      </c>
      <c r="E22" t="s">
        <v>92</v>
      </c>
      <c r="F22">
        <v>0</v>
      </c>
      <c r="G22" t="s">
        <v>105</v>
      </c>
      <c r="H22">
        <v>0</v>
      </c>
      <c r="I22">
        <v>0</v>
      </c>
      <c r="J22">
        <v>0</v>
      </c>
      <c r="K22">
        <v>442.5</v>
      </c>
      <c r="L22">
        <v>286000</v>
      </c>
      <c r="M22">
        <v>371800</v>
      </c>
      <c r="N22" s="77">
        <f>IF($B22=$D$1, VLOOKUP($D$1, B22:$J$46, 2, FALSE), "")</f>
        <v>22</v>
      </c>
      <c r="O22" s="77" t="e">
        <f t="shared" si="13"/>
        <v>#NUM!</v>
      </c>
      <c r="P22" s="77"/>
      <c r="Q22" s="77" t="str">
        <f t="shared" si="14"/>
        <v/>
      </c>
      <c r="R22" s="77" t="str">
        <f t="shared" si="11"/>
        <v/>
      </c>
      <c r="S22" t="str">
        <f t="shared" si="2"/>
        <v/>
      </c>
      <c r="T22" t="str">
        <f t="shared" si="12"/>
        <v/>
      </c>
      <c r="U22" t="str">
        <f t="shared" si="15"/>
        <v/>
      </c>
      <c r="V22" t="e">
        <f t="shared" si="3"/>
        <v>#N/A</v>
      </c>
      <c r="W22" t="e">
        <f t="shared" si="4"/>
        <v>#N/A</v>
      </c>
      <c r="X22" t="e">
        <f t="shared" si="5"/>
        <v>#N/A</v>
      </c>
      <c r="Y22" t="e">
        <f t="shared" si="6"/>
        <v>#N/A</v>
      </c>
      <c r="Z22" t="e">
        <f t="shared" si="7"/>
        <v>#N/A</v>
      </c>
      <c r="AA22" t="e">
        <f t="shared" si="8"/>
        <v>#N/A</v>
      </c>
      <c r="AB22" t="e">
        <f t="shared" si="9"/>
        <v>#N/A</v>
      </c>
      <c r="AC22" t="e">
        <f t="shared" si="10"/>
        <v>#N/A</v>
      </c>
    </row>
    <row r="23" spans="2:29" x14ac:dyDescent="0.55000000000000004">
      <c r="B23" t="s">
        <v>95</v>
      </c>
      <c r="C23">
        <v>23</v>
      </c>
      <c r="D23" t="s">
        <v>95</v>
      </c>
      <c r="E23" t="s">
        <v>92</v>
      </c>
      <c r="F23">
        <v>0</v>
      </c>
      <c r="G23" t="s">
        <v>106</v>
      </c>
      <c r="H23">
        <v>0</v>
      </c>
      <c r="I23">
        <v>0</v>
      </c>
      <c r="J23">
        <v>0</v>
      </c>
      <c r="K23">
        <v>442.5</v>
      </c>
      <c r="L23">
        <v>286000</v>
      </c>
      <c r="M23">
        <v>371800</v>
      </c>
      <c r="N23" s="77">
        <f>IF($B23=$D$1, VLOOKUP($D$1, B23:$J$46, 2, FALSE), "")</f>
        <v>23</v>
      </c>
      <c r="O23" s="77" t="e">
        <f t="shared" si="13"/>
        <v>#NUM!</v>
      </c>
      <c r="P23" s="77"/>
      <c r="Q23" s="77" t="str">
        <f t="shared" si="14"/>
        <v/>
      </c>
      <c r="R23" s="77" t="str">
        <f t="shared" si="11"/>
        <v/>
      </c>
      <c r="S23" t="str">
        <f t="shared" si="2"/>
        <v/>
      </c>
      <c r="T23" t="str">
        <f t="shared" si="12"/>
        <v/>
      </c>
      <c r="U23" t="str">
        <f t="shared" si="15"/>
        <v/>
      </c>
      <c r="V23" t="e">
        <f t="shared" si="3"/>
        <v>#N/A</v>
      </c>
      <c r="W23" t="e">
        <f t="shared" si="4"/>
        <v>#N/A</v>
      </c>
      <c r="X23" t="e">
        <f t="shared" si="5"/>
        <v>#N/A</v>
      </c>
      <c r="Y23" t="e">
        <f t="shared" si="6"/>
        <v>#N/A</v>
      </c>
      <c r="Z23" t="e">
        <f t="shared" si="7"/>
        <v>#N/A</v>
      </c>
      <c r="AA23" t="e">
        <f t="shared" si="8"/>
        <v>#N/A</v>
      </c>
      <c r="AB23" t="e">
        <f t="shared" si="9"/>
        <v>#N/A</v>
      </c>
      <c r="AC23" t="e">
        <f t="shared" si="10"/>
        <v>#N/A</v>
      </c>
    </row>
    <row r="24" spans="2:29" x14ac:dyDescent="0.55000000000000004">
      <c r="B24" t="s">
        <v>95</v>
      </c>
      <c r="C24">
        <v>24</v>
      </c>
      <c r="D24" t="s">
        <v>95</v>
      </c>
      <c r="E24" t="s">
        <v>4</v>
      </c>
      <c r="F24">
        <v>0</v>
      </c>
      <c r="G24" t="s">
        <v>107</v>
      </c>
      <c r="H24">
        <v>0</v>
      </c>
      <c r="I24">
        <v>0</v>
      </c>
      <c r="J24">
        <v>0</v>
      </c>
      <c r="K24">
        <v>442.5</v>
      </c>
      <c r="L24">
        <v>330000</v>
      </c>
      <c r="M24">
        <v>429000</v>
      </c>
      <c r="N24" s="77">
        <f>IF($B24=$D$1, VLOOKUP($D$1, B24:$J$46, 2, FALSE), "")</f>
        <v>24</v>
      </c>
      <c r="O24" s="77" t="e">
        <f t="shared" si="13"/>
        <v>#NUM!</v>
      </c>
      <c r="P24" s="77"/>
      <c r="Q24" s="77" t="str">
        <f t="shared" si="14"/>
        <v/>
      </c>
      <c r="R24" s="77" t="str">
        <f t="shared" si="11"/>
        <v/>
      </c>
      <c r="S24" t="str">
        <f t="shared" si="2"/>
        <v/>
      </c>
      <c r="T24" t="str">
        <f t="shared" si="12"/>
        <v/>
      </c>
      <c r="U24" t="str">
        <f t="shared" si="15"/>
        <v/>
      </c>
      <c r="V24" t="e">
        <f t="shared" si="3"/>
        <v>#N/A</v>
      </c>
      <c r="W24" t="e">
        <f t="shared" si="4"/>
        <v>#N/A</v>
      </c>
      <c r="X24" t="e">
        <f t="shared" si="5"/>
        <v>#N/A</v>
      </c>
      <c r="Y24" t="e">
        <f t="shared" si="6"/>
        <v>#N/A</v>
      </c>
      <c r="Z24" t="e">
        <f t="shared" si="7"/>
        <v>#N/A</v>
      </c>
      <c r="AA24" t="e">
        <f t="shared" si="8"/>
        <v>#N/A</v>
      </c>
      <c r="AB24" t="e">
        <f t="shared" si="9"/>
        <v>#N/A</v>
      </c>
      <c r="AC24" t="e">
        <f t="shared" si="10"/>
        <v>#N/A</v>
      </c>
    </row>
    <row r="25" spans="2:29" x14ac:dyDescent="0.55000000000000004">
      <c r="B25" t="s">
        <v>95</v>
      </c>
      <c r="C25">
        <v>25</v>
      </c>
      <c r="D25" t="s">
        <v>95</v>
      </c>
      <c r="E25" t="s">
        <v>41</v>
      </c>
      <c r="F25">
        <v>0</v>
      </c>
      <c r="G25" t="s">
        <v>109</v>
      </c>
      <c r="H25">
        <v>0</v>
      </c>
      <c r="I25">
        <v>0</v>
      </c>
      <c r="J25">
        <v>0</v>
      </c>
      <c r="K25">
        <v>442.5</v>
      </c>
      <c r="L25">
        <v>385000.00000000006</v>
      </c>
      <c r="M25">
        <v>500500.00000000012</v>
      </c>
      <c r="N25" s="77">
        <f>IF($B25=$D$1, VLOOKUP($D$1, B25:$J$46, 2, FALSE), "")</f>
        <v>25</v>
      </c>
      <c r="O25" s="77" t="e">
        <f t="shared" si="13"/>
        <v>#NUM!</v>
      </c>
      <c r="P25" s="77"/>
      <c r="Q25" s="77" t="str">
        <f t="shared" si="14"/>
        <v/>
      </c>
      <c r="R25" s="77" t="str">
        <f t="shared" si="11"/>
        <v/>
      </c>
      <c r="S25" t="str">
        <f t="shared" si="2"/>
        <v/>
      </c>
      <c r="T25" t="str">
        <f t="shared" si="12"/>
        <v/>
      </c>
      <c r="U25" t="str">
        <f t="shared" si="15"/>
        <v/>
      </c>
      <c r="V25" t="e">
        <f t="shared" si="3"/>
        <v>#N/A</v>
      </c>
      <c r="W25" t="e">
        <f t="shared" si="4"/>
        <v>#N/A</v>
      </c>
      <c r="X25" t="e">
        <f t="shared" si="5"/>
        <v>#N/A</v>
      </c>
      <c r="Y25" t="e">
        <f t="shared" si="6"/>
        <v>#N/A</v>
      </c>
      <c r="Z25" t="e">
        <f t="shared" si="7"/>
        <v>#N/A</v>
      </c>
      <c r="AA25" t="e">
        <f t="shared" si="8"/>
        <v>#N/A</v>
      </c>
      <c r="AB25" t="e">
        <f t="shared" si="9"/>
        <v>#N/A</v>
      </c>
      <c r="AC25" t="e">
        <f t="shared" si="10"/>
        <v>#N/A</v>
      </c>
    </row>
    <row r="26" spans="2:29" x14ac:dyDescent="0.55000000000000004">
      <c r="B26" t="s">
        <v>95</v>
      </c>
      <c r="C26">
        <v>26</v>
      </c>
      <c r="D26" t="s">
        <v>95</v>
      </c>
      <c r="E26" t="s">
        <v>41</v>
      </c>
      <c r="F26">
        <v>0</v>
      </c>
      <c r="G26" t="s">
        <v>108</v>
      </c>
      <c r="H26">
        <v>0</v>
      </c>
      <c r="I26">
        <v>0</v>
      </c>
      <c r="J26">
        <v>0</v>
      </c>
      <c r="K26">
        <v>442.5</v>
      </c>
      <c r="L26">
        <v>220000.00000000003</v>
      </c>
      <c r="M26">
        <v>286000.00000000006</v>
      </c>
      <c r="N26" s="77">
        <f>IF($B26=$D$1, VLOOKUP($D$1, B26:$J$46, 2, FALSE), "")</f>
        <v>26</v>
      </c>
      <c r="O26" s="77" t="e">
        <f t="shared" si="13"/>
        <v>#NUM!</v>
      </c>
      <c r="P26" s="77"/>
      <c r="Q26" s="77"/>
      <c r="R26" s="77"/>
    </row>
    <row r="27" spans="2:29" x14ac:dyDescent="0.55000000000000004">
      <c r="B27" t="s">
        <v>95</v>
      </c>
      <c r="C27">
        <v>27</v>
      </c>
      <c r="D27" t="s">
        <v>95</v>
      </c>
      <c r="E27" t="s">
        <v>43</v>
      </c>
      <c r="F27">
        <v>0</v>
      </c>
      <c r="G27" t="s">
        <v>110</v>
      </c>
      <c r="H27">
        <v>0</v>
      </c>
      <c r="I27">
        <v>0</v>
      </c>
      <c r="J27">
        <v>0</v>
      </c>
      <c r="K27">
        <v>442.5</v>
      </c>
      <c r="L27">
        <v>302500</v>
      </c>
      <c r="M27">
        <v>393250</v>
      </c>
      <c r="N27" s="77">
        <f>IF($B27=$D$1, VLOOKUP($D$1, B27:$J$46, 2, FALSE), "")</f>
        <v>27</v>
      </c>
      <c r="O27" s="77" t="e">
        <f t="shared" si="13"/>
        <v>#NUM!</v>
      </c>
      <c r="P27" s="77"/>
      <c r="Q27" s="77"/>
      <c r="R27" s="77"/>
    </row>
    <row r="28" spans="2:29" x14ac:dyDescent="0.55000000000000004">
      <c r="B28" t="s">
        <v>95</v>
      </c>
      <c r="C28">
        <v>28</v>
      </c>
      <c r="D28" t="s">
        <v>95</v>
      </c>
      <c r="E28" t="s">
        <v>43</v>
      </c>
      <c r="F28">
        <v>0</v>
      </c>
      <c r="G28" t="s">
        <v>111</v>
      </c>
      <c r="H28">
        <v>0</v>
      </c>
      <c r="I28">
        <v>0</v>
      </c>
      <c r="J28">
        <v>0</v>
      </c>
      <c r="K28">
        <v>442.5</v>
      </c>
      <c r="L28">
        <v>275000</v>
      </c>
      <c r="M28">
        <v>357500</v>
      </c>
      <c r="N28" s="77">
        <f>IF($B28=$D$1, VLOOKUP($D$1, B28:$J$46, 2, FALSE), "")</f>
        <v>28</v>
      </c>
      <c r="O28" s="77" t="e">
        <f t="shared" si="13"/>
        <v>#NUM!</v>
      </c>
      <c r="P28" s="77"/>
      <c r="Q28" s="77"/>
      <c r="R28" s="77"/>
    </row>
    <row r="29" spans="2:29" x14ac:dyDescent="0.55000000000000004">
      <c r="B29" t="s">
        <v>95</v>
      </c>
      <c r="C29">
        <v>29</v>
      </c>
      <c r="D29" t="s">
        <v>95</v>
      </c>
      <c r="E29" t="s">
        <v>44</v>
      </c>
      <c r="F29">
        <v>0</v>
      </c>
      <c r="G29" t="s">
        <v>76</v>
      </c>
      <c r="H29">
        <v>0</v>
      </c>
      <c r="I29">
        <v>0</v>
      </c>
      <c r="J29">
        <v>0</v>
      </c>
      <c r="K29">
        <v>442.5</v>
      </c>
      <c r="L29">
        <v>192500.00000000003</v>
      </c>
      <c r="M29">
        <v>250250.00000000006</v>
      </c>
      <c r="N29" s="77">
        <f>IF($B29=$D$1, VLOOKUP($D$1, B29:$J$46, 2, FALSE), "")</f>
        <v>29</v>
      </c>
      <c r="O29" s="77" t="e">
        <f t="shared" si="13"/>
        <v>#NUM!</v>
      </c>
      <c r="P29" s="77"/>
      <c r="Q29" s="77"/>
      <c r="R29" s="77"/>
    </row>
    <row r="30" spans="2:29" x14ac:dyDescent="0.55000000000000004">
      <c r="B30" t="s">
        <v>95</v>
      </c>
      <c r="C30">
        <v>30</v>
      </c>
      <c r="D30" t="s">
        <v>95</v>
      </c>
      <c r="E30" t="s">
        <v>45</v>
      </c>
      <c r="F30">
        <v>0</v>
      </c>
      <c r="G30" t="s">
        <v>112</v>
      </c>
      <c r="H30">
        <v>0</v>
      </c>
      <c r="I30">
        <v>0</v>
      </c>
      <c r="J30">
        <v>0</v>
      </c>
      <c r="K30">
        <v>442.5</v>
      </c>
      <c r="L30">
        <v>220000.00000000003</v>
      </c>
      <c r="M30">
        <v>286000.00000000006</v>
      </c>
      <c r="N30" s="77">
        <f>IF($B30=$D$1, VLOOKUP($D$1, B30:$J$46, 2, FALSE), "")</f>
        <v>30</v>
      </c>
      <c r="O30" s="77" t="e">
        <f t="shared" si="13"/>
        <v>#NUM!</v>
      </c>
      <c r="P30" s="77"/>
      <c r="Q30" s="77"/>
      <c r="R30" s="77"/>
    </row>
    <row r="31" spans="2:29" x14ac:dyDescent="0.55000000000000004">
      <c r="B31" t="s">
        <v>261</v>
      </c>
      <c r="C31">
        <v>31</v>
      </c>
      <c r="D31" t="s">
        <v>261</v>
      </c>
      <c r="E31" t="s">
        <v>45</v>
      </c>
      <c r="F31">
        <v>0</v>
      </c>
      <c r="G31" t="s">
        <v>260</v>
      </c>
      <c r="H31">
        <v>0</v>
      </c>
      <c r="I31">
        <v>0</v>
      </c>
      <c r="J31">
        <v>0</v>
      </c>
      <c r="K31">
        <v>885</v>
      </c>
      <c r="L31">
        <v>220000.00000000003</v>
      </c>
      <c r="M31">
        <v>286000.00000000006</v>
      </c>
      <c r="N31" s="77" t="str">
        <f>IF($B31=$D$1, VLOOKUP($D$1, B31:$J$46, 2, FALSE), "")</f>
        <v/>
      </c>
      <c r="O31" s="77" t="e">
        <f t="shared" si="13"/>
        <v>#NUM!</v>
      </c>
      <c r="P31" s="77"/>
      <c r="Q31" s="77"/>
      <c r="R31" s="77"/>
    </row>
    <row r="32" spans="2:29" x14ac:dyDescent="0.55000000000000004">
      <c r="B32" t="s">
        <v>95</v>
      </c>
      <c r="C32">
        <v>32</v>
      </c>
      <c r="D32" t="s">
        <v>95</v>
      </c>
      <c r="E32" t="s">
        <v>46</v>
      </c>
      <c r="F32">
        <v>0</v>
      </c>
      <c r="G32" t="s">
        <v>113</v>
      </c>
      <c r="H32">
        <v>0</v>
      </c>
      <c r="I32">
        <v>0</v>
      </c>
      <c r="J32">
        <v>0</v>
      </c>
      <c r="K32">
        <v>442.5</v>
      </c>
      <c r="L32">
        <v>330000</v>
      </c>
      <c r="M32">
        <v>429000</v>
      </c>
      <c r="N32" s="77">
        <f>IF($B32=$D$1, VLOOKUP($D$1, B32:$J$46, 2, FALSE), "")</f>
        <v>32</v>
      </c>
      <c r="O32" s="77" t="e">
        <f t="shared" si="13"/>
        <v>#NUM!</v>
      </c>
      <c r="P32" s="77"/>
      <c r="Q32" s="77"/>
      <c r="R32" s="77"/>
    </row>
    <row r="33" spans="2:18" x14ac:dyDescent="0.55000000000000004">
      <c r="B33" t="s">
        <v>95</v>
      </c>
      <c r="C33">
        <v>33</v>
      </c>
      <c r="D33" t="s">
        <v>95</v>
      </c>
      <c r="E33" t="s">
        <v>47</v>
      </c>
      <c r="F33">
        <v>0</v>
      </c>
      <c r="G33" t="s">
        <v>114</v>
      </c>
      <c r="H33">
        <v>0</v>
      </c>
      <c r="I33">
        <v>0</v>
      </c>
      <c r="J33">
        <v>0</v>
      </c>
      <c r="K33">
        <v>442.5</v>
      </c>
      <c r="L33">
        <v>341000</v>
      </c>
      <c r="M33">
        <v>443300</v>
      </c>
      <c r="N33" s="77">
        <f>IF($B33=$D$1, VLOOKUP($D$1, B33:$J$46, 2, FALSE), "")</f>
        <v>33</v>
      </c>
      <c r="O33" s="77" t="e">
        <f t="shared" si="13"/>
        <v>#NUM!</v>
      </c>
      <c r="P33" s="77"/>
      <c r="Q33" s="77"/>
      <c r="R33" s="77"/>
    </row>
    <row r="34" spans="2:18" x14ac:dyDescent="0.55000000000000004">
      <c r="B34" t="s">
        <v>261</v>
      </c>
      <c r="C34">
        <v>34</v>
      </c>
      <c r="D34" t="s">
        <v>261</v>
      </c>
      <c r="E34" t="s">
        <v>243</v>
      </c>
      <c r="F34">
        <v>0</v>
      </c>
      <c r="G34" t="s">
        <v>263</v>
      </c>
      <c r="H34">
        <v>0</v>
      </c>
      <c r="I34">
        <v>0</v>
      </c>
      <c r="J34">
        <v>0</v>
      </c>
      <c r="K34">
        <v>885</v>
      </c>
      <c r="L34">
        <v>825000.00000000012</v>
      </c>
      <c r="M34">
        <v>1072500.0000000002</v>
      </c>
      <c r="N34" s="77" t="str">
        <f>IF($B34=$D$1, VLOOKUP($D$1, B34:$J$46, 2, FALSE), "")</f>
        <v/>
      </c>
      <c r="O34" s="77" t="e">
        <f t="shared" si="13"/>
        <v>#NUM!</v>
      </c>
      <c r="P34" s="77"/>
      <c r="Q34" s="77"/>
      <c r="R34" s="77"/>
    </row>
    <row r="35" spans="2:18" x14ac:dyDescent="0.55000000000000004">
      <c r="B35" t="s">
        <v>95</v>
      </c>
      <c r="C35">
        <v>35</v>
      </c>
      <c r="D35" t="s">
        <v>95</v>
      </c>
      <c r="E35" t="s">
        <v>243</v>
      </c>
      <c r="F35">
        <v>0</v>
      </c>
      <c r="G35" t="s">
        <v>262</v>
      </c>
      <c r="H35">
        <v>0</v>
      </c>
      <c r="I35">
        <v>0</v>
      </c>
      <c r="J35">
        <v>0</v>
      </c>
      <c r="K35">
        <v>665.1</v>
      </c>
      <c r="L35">
        <v>1072500.0000000002</v>
      </c>
      <c r="M35">
        <v>825000.00000000012</v>
      </c>
      <c r="N35" s="77">
        <f>IF($B35=$D$1, VLOOKUP($D$1, B35:$J$46, 2, FALSE), "")</f>
        <v>35</v>
      </c>
      <c r="O35" s="77" t="e">
        <f t="shared" si="13"/>
        <v>#NUM!</v>
      </c>
      <c r="P35" s="77"/>
      <c r="Q35" s="77"/>
      <c r="R35" s="77"/>
    </row>
    <row r="36" spans="2:18" x14ac:dyDescent="0.55000000000000004">
      <c r="B36" t="s">
        <v>95</v>
      </c>
      <c r="C36">
        <v>36</v>
      </c>
      <c r="D36" t="s">
        <v>95</v>
      </c>
      <c r="E36" t="s">
        <v>243</v>
      </c>
      <c r="F36">
        <v>0</v>
      </c>
      <c r="G36" t="s">
        <v>244</v>
      </c>
      <c r="H36">
        <v>0</v>
      </c>
      <c r="I36">
        <v>0</v>
      </c>
      <c r="J36">
        <v>0</v>
      </c>
      <c r="K36">
        <v>442.5</v>
      </c>
      <c r="L36">
        <v>412500.00000000006</v>
      </c>
      <c r="M36">
        <v>536250.00000000012</v>
      </c>
      <c r="N36" s="77">
        <f>IF($B36=$D$1, VLOOKUP($D$1, B36:$J$46, 2, FALSE), "")</f>
        <v>36</v>
      </c>
      <c r="O36" s="77" t="e">
        <f t="shared" si="13"/>
        <v>#NUM!</v>
      </c>
      <c r="P36" s="77"/>
      <c r="Q36" s="77"/>
      <c r="R36" s="77"/>
    </row>
    <row r="37" spans="2:18" x14ac:dyDescent="0.55000000000000004">
      <c r="B37" t="s">
        <v>95</v>
      </c>
      <c r="C37">
        <v>37</v>
      </c>
      <c r="D37" t="s">
        <v>95</v>
      </c>
      <c r="E37" t="s">
        <v>248</v>
      </c>
      <c r="F37">
        <v>0</v>
      </c>
      <c r="G37" t="s">
        <v>249</v>
      </c>
      <c r="H37">
        <v>0</v>
      </c>
      <c r="I37">
        <v>0</v>
      </c>
      <c r="J37">
        <v>0</v>
      </c>
      <c r="K37">
        <v>442.5</v>
      </c>
      <c r="L37">
        <v>308000</v>
      </c>
      <c r="M37">
        <v>400400</v>
      </c>
      <c r="N37" s="77">
        <f>IF($B37=$D$1, VLOOKUP($D$1, B37:$J$46, 2, FALSE), "")</f>
        <v>37</v>
      </c>
      <c r="O37" s="77" t="e">
        <f t="shared" si="13"/>
        <v>#NUM!</v>
      </c>
      <c r="P37" s="77"/>
      <c r="Q37" s="77"/>
      <c r="R37" s="77"/>
    </row>
    <row r="38" spans="2:18" x14ac:dyDescent="0.55000000000000004">
      <c r="B38" t="s">
        <v>261</v>
      </c>
      <c r="C38">
        <v>38</v>
      </c>
      <c r="D38" t="s">
        <v>261</v>
      </c>
      <c r="E38" t="s">
        <v>92</v>
      </c>
      <c r="F38">
        <v>0</v>
      </c>
      <c r="G38" t="s">
        <v>264</v>
      </c>
      <c r="H38">
        <v>0</v>
      </c>
      <c r="I38">
        <v>0</v>
      </c>
      <c r="J38">
        <v>0</v>
      </c>
      <c r="K38">
        <v>885</v>
      </c>
      <c r="L38">
        <v>572000</v>
      </c>
      <c r="M38">
        <v>743600</v>
      </c>
      <c r="N38" s="77" t="str">
        <f>IF($B38=$D$1, VLOOKUP($D$1, B38:$J$46, 2, FALSE), "")</f>
        <v/>
      </c>
      <c r="O38" s="77" t="e">
        <f t="shared" si="13"/>
        <v>#NUM!</v>
      </c>
      <c r="P38" s="77"/>
      <c r="Q38" s="77"/>
      <c r="R38" s="77"/>
    </row>
    <row r="39" spans="2:18" x14ac:dyDescent="0.55000000000000004">
      <c r="B39" t="s">
        <v>261</v>
      </c>
      <c r="C39">
        <v>39</v>
      </c>
      <c r="D39" t="s">
        <v>261</v>
      </c>
      <c r="E39" t="s">
        <v>43</v>
      </c>
      <c r="F39">
        <v>0</v>
      </c>
      <c r="G39" t="s">
        <v>265</v>
      </c>
      <c r="H39">
        <v>0</v>
      </c>
      <c r="I39">
        <v>0</v>
      </c>
      <c r="J39">
        <v>0</v>
      </c>
      <c r="K39">
        <v>885</v>
      </c>
      <c r="L39">
        <v>605000</v>
      </c>
      <c r="M39">
        <v>786500</v>
      </c>
      <c r="N39" s="77" t="str">
        <f>IF($B39=$D$1, VLOOKUP($D$1, B39:$J$46, 2, FALSE), "")</f>
        <v/>
      </c>
      <c r="O39" s="77" t="e">
        <f t="shared" si="13"/>
        <v>#NUM!</v>
      </c>
      <c r="P39" s="77"/>
      <c r="Q39" s="77"/>
      <c r="R39" s="77"/>
    </row>
    <row r="40" spans="2:18" x14ac:dyDescent="0.55000000000000004">
      <c r="B40" t="s">
        <v>261</v>
      </c>
      <c r="C40">
        <v>40</v>
      </c>
      <c r="D40" t="s">
        <v>261</v>
      </c>
      <c r="E40" t="s">
        <v>5</v>
      </c>
      <c r="F40">
        <v>0</v>
      </c>
      <c r="G40" t="s">
        <v>266</v>
      </c>
      <c r="H40">
        <v>0</v>
      </c>
      <c r="I40">
        <v>0</v>
      </c>
      <c r="J40">
        <v>0</v>
      </c>
      <c r="K40">
        <v>885</v>
      </c>
      <c r="L40">
        <v>467231.60000000003</v>
      </c>
      <c r="M40">
        <v>607401.08000000007</v>
      </c>
      <c r="N40" s="77" t="str">
        <f>IF($B40=$D$1, VLOOKUP($D$1, B40:$J$46, 2, FALSE), "")</f>
        <v/>
      </c>
      <c r="O40" s="77" t="e">
        <f t="shared" si="13"/>
        <v>#NUM!</v>
      </c>
      <c r="P40" s="77"/>
      <c r="Q40" s="77"/>
      <c r="R40" s="77"/>
    </row>
    <row r="41" spans="2:18" x14ac:dyDescent="0.55000000000000004">
      <c r="B41" t="s">
        <v>261</v>
      </c>
      <c r="C41">
        <v>41</v>
      </c>
      <c r="D41" t="s">
        <v>261</v>
      </c>
      <c r="E41" t="s">
        <v>5</v>
      </c>
      <c r="F41">
        <v>0</v>
      </c>
      <c r="G41" t="s">
        <v>272</v>
      </c>
      <c r="H41">
        <v>0</v>
      </c>
      <c r="I41">
        <v>0</v>
      </c>
      <c r="J41">
        <v>0</v>
      </c>
      <c r="K41">
        <v>885</v>
      </c>
      <c r="L41">
        <v>836000.00000000012</v>
      </c>
      <c r="M41">
        <v>1086800</v>
      </c>
      <c r="N41" s="77" t="str">
        <f>IF($B41=$D$1, VLOOKUP($D$1, B41:$J$46, 2, FALSE), "")</f>
        <v/>
      </c>
      <c r="O41" s="77" t="e">
        <f t="shared" si="13"/>
        <v>#NUM!</v>
      </c>
      <c r="P41" s="77"/>
      <c r="Q41" s="77"/>
      <c r="R41" s="77"/>
    </row>
    <row r="42" spans="2:18" x14ac:dyDescent="0.55000000000000004">
      <c r="B42" t="s">
        <v>261</v>
      </c>
      <c r="C42">
        <v>42</v>
      </c>
      <c r="D42" t="s">
        <v>261</v>
      </c>
      <c r="E42" t="s">
        <v>5</v>
      </c>
      <c r="F42">
        <v>0</v>
      </c>
      <c r="G42" t="s">
        <v>267</v>
      </c>
      <c r="H42">
        <v>0</v>
      </c>
      <c r="I42">
        <v>0</v>
      </c>
      <c r="J42">
        <v>0</v>
      </c>
      <c r="K42">
        <v>885</v>
      </c>
      <c r="L42">
        <v>836000.00000000012</v>
      </c>
      <c r="M42">
        <v>1086800.0000000002</v>
      </c>
      <c r="N42" s="77" t="str">
        <f>IF($B42=$D$1, VLOOKUP($D$1, B42:$J$46, 2, FALSE), "")</f>
        <v/>
      </c>
      <c r="O42" s="77" t="e">
        <f t="shared" si="13"/>
        <v>#NUM!</v>
      </c>
      <c r="P42" s="77"/>
      <c r="Q42" s="77"/>
      <c r="R42" s="77"/>
    </row>
    <row r="43" spans="2:18" x14ac:dyDescent="0.55000000000000004">
      <c r="B43" t="s">
        <v>261</v>
      </c>
      <c r="C43">
        <v>43</v>
      </c>
      <c r="D43" t="s">
        <v>261</v>
      </c>
      <c r="E43" t="s">
        <v>4</v>
      </c>
      <c r="F43">
        <v>0</v>
      </c>
      <c r="G43" t="s">
        <v>268</v>
      </c>
      <c r="H43">
        <v>0</v>
      </c>
      <c r="I43">
        <v>0</v>
      </c>
      <c r="J43">
        <v>0</v>
      </c>
      <c r="K43">
        <v>885</v>
      </c>
      <c r="L43">
        <v>660000</v>
      </c>
      <c r="M43">
        <v>858000</v>
      </c>
      <c r="N43" s="77" t="str">
        <f>IF($B43=$D$1, VLOOKUP($D$1, B43:$J$46, 2, FALSE), "")</f>
        <v/>
      </c>
      <c r="O43" s="77" t="e">
        <f t="shared" si="13"/>
        <v>#NUM!</v>
      </c>
      <c r="P43" s="77"/>
      <c r="Q43" s="77"/>
      <c r="R43" s="77"/>
    </row>
    <row r="44" spans="2:18" x14ac:dyDescent="0.55000000000000004">
      <c r="B44" t="s">
        <v>261</v>
      </c>
      <c r="C44">
        <v>44</v>
      </c>
      <c r="D44" t="s">
        <v>261</v>
      </c>
      <c r="E44" t="s">
        <v>248</v>
      </c>
      <c r="F44">
        <v>0</v>
      </c>
      <c r="G44" t="s">
        <v>269</v>
      </c>
      <c r="H44">
        <v>0</v>
      </c>
      <c r="I44">
        <v>0</v>
      </c>
      <c r="J44">
        <v>0</v>
      </c>
      <c r="K44">
        <v>885</v>
      </c>
      <c r="L44">
        <v>616000</v>
      </c>
      <c r="M44">
        <v>800800</v>
      </c>
      <c r="N44" s="77" t="str">
        <f>IF($B44=$D$1, VLOOKUP($D$1, B44:$J$46, 2, FALSE), "")</f>
        <v/>
      </c>
      <c r="O44" s="77" t="e">
        <f t="shared" si="13"/>
        <v>#NUM!</v>
      </c>
      <c r="P44" s="77"/>
      <c r="Q44" s="77"/>
      <c r="R44" s="77"/>
    </row>
    <row r="45" spans="2:18" x14ac:dyDescent="0.55000000000000004">
      <c r="B45" t="s">
        <v>362</v>
      </c>
      <c r="C45">
        <f>Project_Data_Input!B45</f>
        <v>45</v>
      </c>
      <c r="D45" t="s">
        <v>362</v>
      </c>
      <c r="E45">
        <v>0</v>
      </c>
      <c r="F45">
        <f>Project_Data_Input!E45</f>
        <v>0</v>
      </c>
      <c r="G45" t="s">
        <v>247</v>
      </c>
      <c r="H45">
        <f>Project_Data_Input!H45</f>
        <v>0</v>
      </c>
      <c r="I45">
        <f>Project_Data_Input!I45</f>
        <v>0</v>
      </c>
      <c r="J45">
        <f>Project_Data_Input!J45</f>
        <v>0</v>
      </c>
      <c r="K45">
        <v>24</v>
      </c>
      <c r="L45">
        <v>0</v>
      </c>
      <c r="M45">
        <v>0</v>
      </c>
      <c r="N45" s="77" t="str">
        <f>IF($B45=$D$1, VLOOKUP($D$1, B45:$J$46, 2, FALSE), "")</f>
        <v/>
      </c>
      <c r="O45" s="77" t="e">
        <f t="shared" si="13"/>
        <v>#NUM!</v>
      </c>
      <c r="P45" s="77"/>
      <c r="Q45" s="77"/>
      <c r="R45" s="77"/>
    </row>
    <row r="46" spans="2:18" x14ac:dyDescent="0.55000000000000004">
      <c r="B46" t="s">
        <v>371</v>
      </c>
      <c r="C46">
        <f>Project_Data_Input!B46</f>
        <v>46</v>
      </c>
      <c r="D46" t="s">
        <v>371</v>
      </c>
      <c r="E46">
        <f>Project_Data_Input!D46</f>
        <v>0</v>
      </c>
      <c r="F46">
        <f>Project_Data_Input!E46</f>
        <v>0</v>
      </c>
      <c r="G46" t="s">
        <v>247</v>
      </c>
      <c r="H46">
        <f>Project_Data_Input!H46</f>
        <v>0</v>
      </c>
      <c r="I46">
        <f>Project_Data_Input!I46</f>
        <v>0</v>
      </c>
      <c r="J46">
        <f>Project_Data_Input!J46</f>
        <v>0</v>
      </c>
      <c r="K46">
        <v>89.19</v>
      </c>
      <c r="L46">
        <f>Project_Data_Input!L46</f>
        <v>0</v>
      </c>
      <c r="N46" s="77" t="str">
        <f>IF($B46=$D$1, VLOOKUP($D$1, B46:$J$46, 2, FALSE), "")</f>
        <v/>
      </c>
      <c r="O46" s="77"/>
      <c r="P46" s="77"/>
      <c r="Q46" s="77"/>
      <c r="R46" s="77"/>
    </row>
    <row r="47" spans="2:18" x14ac:dyDescent="0.55000000000000004">
      <c r="C47">
        <v>47</v>
      </c>
      <c r="D47" t="s">
        <v>117</v>
      </c>
      <c r="G47" t="s">
        <v>391</v>
      </c>
      <c r="K47">
        <v>1122.2</v>
      </c>
      <c r="N47" s="77" t="str">
        <f>IF($B47=$D$1, VLOOKUP($D$1, B$46:$J47, 2, FALSE), "")</f>
        <v/>
      </c>
    </row>
    <row r="48" spans="2:18" x14ac:dyDescent="0.55000000000000004">
      <c r="B48" t="b">
        <f>OR(B1=2,B1=5,B1=6)</f>
        <v>1</v>
      </c>
      <c r="C48" t="s">
        <v>363</v>
      </c>
    </row>
    <row r="49" spans="2:3" x14ac:dyDescent="0.55000000000000004">
      <c r="B49" t="b">
        <f>OR(B1=4,B1=7)</f>
        <v>0</v>
      </c>
      <c r="C49" t="s">
        <v>364</v>
      </c>
    </row>
    <row r="51" spans="2:3" ht="28.8" x14ac:dyDescent="0.55000000000000004">
      <c r="C51" s="76" t="s">
        <v>368</v>
      </c>
    </row>
    <row r="52" spans="2:3" ht="28.8" x14ac:dyDescent="0.55000000000000004">
      <c r="C52" s="76" t="s">
        <v>374</v>
      </c>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D9"/>
  <sheetViews>
    <sheetView showGridLines="0" topLeftCell="A41" zoomScale="120" zoomScaleNormal="120" workbookViewId="0">
      <selection activeCell="F22" sqref="F22"/>
    </sheetView>
  </sheetViews>
  <sheetFormatPr defaultColWidth="80.68359375" defaultRowHeight="327" customHeight="1" x14ac:dyDescent="0.55000000000000004"/>
  <sheetData>
    <row r="1" spans="2:4" ht="327" customHeight="1" x14ac:dyDescent="0.55000000000000004">
      <c r="B1">
        <v>1</v>
      </c>
      <c r="C1">
        <v>1</v>
      </c>
      <c r="D1" t="str">
        <f>VLOOKUP(C1, DropdownsDNT!B3:C10, 2, FALSE)</f>
        <v>Common Uniform Building Envelope (CUBE)</v>
      </c>
    </row>
    <row r="2" spans="2:4" ht="327" customHeight="1" x14ac:dyDescent="0.55000000000000004">
      <c r="B2">
        <v>2</v>
      </c>
    </row>
    <row r="3" spans="2:4" ht="327" customHeight="1" x14ac:dyDescent="0.55000000000000004">
      <c r="B3">
        <v>3</v>
      </c>
    </row>
    <row r="4" spans="2:4" ht="327" customHeight="1" x14ac:dyDescent="0.55000000000000004">
      <c r="B4">
        <v>4</v>
      </c>
    </row>
    <row r="5" spans="2:4" ht="327" customHeight="1" x14ac:dyDescent="0.55000000000000004">
      <c r="B5">
        <v>5</v>
      </c>
    </row>
    <row r="6" spans="2:4" ht="327" customHeight="1" x14ac:dyDescent="0.55000000000000004">
      <c r="B6">
        <v>6</v>
      </c>
    </row>
    <row r="7" spans="2:4" ht="327" customHeight="1" x14ac:dyDescent="0.55000000000000004">
      <c r="B7">
        <v>7</v>
      </c>
    </row>
    <row r="8" spans="2:4" ht="327" customHeight="1" x14ac:dyDescent="0.55000000000000004">
      <c r="B8">
        <v>8</v>
      </c>
    </row>
    <row r="9" spans="2:4" ht="327" customHeight="1" x14ac:dyDescent="0.55000000000000004">
      <c r="B9">
        <v>9</v>
      </c>
    </row>
  </sheetData>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AC130"/>
  <sheetViews>
    <sheetView topLeftCell="A78" zoomScale="90" zoomScaleNormal="90" workbookViewId="0">
      <selection activeCell="F22" sqref="F22"/>
    </sheetView>
  </sheetViews>
  <sheetFormatPr defaultRowHeight="14.4" x14ac:dyDescent="0.55000000000000004"/>
  <cols>
    <col min="2" max="2" width="25" bestFit="1" customWidth="1"/>
    <col min="3" max="3" width="53.578125" bestFit="1" customWidth="1"/>
    <col min="4" max="4" width="53.578125" customWidth="1"/>
    <col min="5" max="5" width="12" bestFit="1" customWidth="1"/>
    <col min="8" max="8" width="30.68359375" bestFit="1" customWidth="1"/>
    <col min="11" max="11" width="20" bestFit="1" customWidth="1"/>
    <col min="14" max="14" width="20.26171875" customWidth="1"/>
    <col min="15" max="15" width="28.15625" customWidth="1"/>
    <col min="18" max="18" width="53" bestFit="1" customWidth="1"/>
    <col min="19" max="19" width="28.41796875" bestFit="1" customWidth="1"/>
    <col min="22" max="22" width="20.578125" customWidth="1"/>
    <col min="23" max="23" width="13.68359375" customWidth="1"/>
  </cols>
  <sheetData>
    <row r="1" spans="2:29" x14ac:dyDescent="0.55000000000000004">
      <c r="O1" t="str">
        <f>VLOOKUP(O2, M3:O130, 2, FALSE)</f>
        <v>California</v>
      </c>
      <c r="P1">
        <v>5</v>
      </c>
      <c r="Q1" s="3">
        <v>1</v>
      </c>
      <c r="R1" s="3">
        <v>0</v>
      </c>
      <c r="S1" s="3">
        <v>0</v>
      </c>
      <c r="T1" s="3">
        <v>1</v>
      </c>
      <c r="U1" s="3"/>
    </row>
    <row r="2" spans="2:29" ht="14.7" thickBot="1" x14ac:dyDescent="0.6">
      <c r="F2" t="s">
        <v>31</v>
      </c>
      <c r="G2" t="s">
        <v>32</v>
      </c>
      <c r="N2">
        <f>VLOOKUP(O2, M3:O130, 3, FALSE)</f>
        <v>1.23</v>
      </c>
      <c r="O2">
        <v>6</v>
      </c>
      <c r="Q2" s="3"/>
      <c r="R2" s="3">
        <v>1</v>
      </c>
      <c r="S2" s="3" t="s">
        <v>274</v>
      </c>
      <c r="T2" s="3">
        <v>2</v>
      </c>
      <c r="U2" s="3">
        <v>100000</v>
      </c>
      <c r="V2" s="60"/>
      <c r="AC2" t="str">
        <f>IF($Q2="", "", VLOOKUP($Q2, $C$2:$J$112, 5, FALSE))</f>
        <v/>
      </c>
    </row>
    <row r="3" spans="2:29" ht="27.9" thickTop="1" x14ac:dyDescent="0.55000000000000004">
      <c r="B3">
        <v>1</v>
      </c>
      <c r="C3" s="1" t="s">
        <v>25</v>
      </c>
      <c r="D3">
        <v>1</v>
      </c>
      <c r="E3" t="s">
        <v>94</v>
      </c>
      <c r="F3" s="58"/>
      <c r="H3" s="1" t="s">
        <v>25</v>
      </c>
      <c r="M3">
        <v>1</v>
      </c>
      <c r="N3" s="21" t="s">
        <v>250</v>
      </c>
      <c r="O3" s="22">
        <v>1</v>
      </c>
      <c r="Q3" s="3"/>
      <c r="R3" s="3">
        <v>2</v>
      </c>
      <c r="S3" s="3" t="s">
        <v>273</v>
      </c>
      <c r="T3" s="3">
        <v>3</v>
      </c>
      <c r="U3" s="3">
        <v>50000</v>
      </c>
      <c r="V3" s="60"/>
    </row>
    <row r="4" spans="2:29" x14ac:dyDescent="0.55000000000000004">
      <c r="B4">
        <v>2</v>
      </c>
      <c r="C4" t="s">
        <v>26</v>
      </c>
      <c r="D4">
        <v>2</v>
      </c>
      <c r="E4" t="s">
        <v>116</v>
      </c>
      <c r="F4" s="58"/>
      <c r="H4" t="s">
        <v>26</v>
      </c>
      <c r="M4">
        <v>2</v>
      </c>
      <c r="N4" s="21" t="s">
        <v>123</v>
      </c>
      <c r="O4" s="22">
        <v>0.88</v>
      </c>
      <c r="Q4" s="3"/>
      <c r="R4" s="3">
        <v>3</v>
      </c>
      <c r="S4" s="3" t="s">
        <v>275</v>
      </c>
      <c r="T4" s="3">
        <v>4</v>
      </c>
      <c r="U4" s="3">
        <v>165000</v>
      </c>
    </row>
    <row r="5" spans="2:29" x14ac:dyDescent="0.55000000000000004">
      <c r="B5">
        <v>3</v>
      </c>
      <c r="C5" t="s">
        <v>30</v>
      </c>
      <c r="D5">
        <v>3</v>
      </c>
      <c r="E5" t="s">
        <v>117</v>
      </c>
      <c r="F5" s="58"/>
      <c r="H5" t="s">
        <v>30</v>
      </c>
      <c r="M5">
        <v>3</v>
      </c>
      <c r="N5" s="21" t="s">
        <v>124</v>
      </c>
      <c r="O5" s="20">
        <v>1.95</v>
      </c>
      <c r="Q5" s="3"/>
      <c r="R5" s="3">
        <v>4</v>
      </c>
      <c r="S5" s="3" t="s">
        <v>276</v>
      </c>
      <c r="T5" s="3">
        <v>5</v>
      </c>
      <c r="U5" s="3">
        <v>150000</v>
      </c>
    </row>
    <row r="6" spans="2:29" x14ac:dyDescent="0.55000000000000004">
      <c r="B6">
        <v>4</v>
      </c>
      <c r="C6" t="s">
        <v>270</v>
      </c>
      <c r="D6">
        <v>4</v>
      </c>
      <c r="E6" t="s">
        <v>118</v>
      </c>
      <c r="F6" s="58"/>
      <c r="H6" t="s">
        <v>27</v>
      </c>
      <c r="M6">
        <v>4</v>
      </c>
      <c r="N6" s="21" t="s">
        <v>125</v>
      </c>
      <c r="O6" s="20">
        <v>0.85</v>
      </c>
      <c r="Q6" s="3"/>
      <c r="R6" s="3">
        <v>5</v>
      </c>
      <c r="S6" s="3" t="s">
        <v>376</v>
      </c>
      <c r="T6" s="3">
        <v>6</v>
      </c>
      <c r="U6" s="3">
        <v>3000</v>
      </c>
    </row>
    <row r="7" spans="2:29" ht="14.7" thickBot="1" x14ac:dyDescent="0.6">
      <c r="B7">
        <v>5</v>
      </c>
      <c r="C7" t="s">
        <v>35</v>
      </c>
      <c r="D7">
        <v>5</v>
      </c>
      <c r="E7" t="s">
        <v>119</v>
      </c>
      <c r="F7" s="58"/>
      <c r="H7" t="s">
        <v>28</v>
      </c>
      <c r="M7">
        <v>5</v>
      </c>
      <c r="N7" s="21" t="s">
        <v>126</v>
      </c>
      <c r="O7" s="20">
        <v>0.74</v>
      </c>
      <c r="R7" s="60">
        <v>6</v>
      </c>
      <c r="S7" s="60" t="s">
        <v>285</v>
      </c>
      <c r="T7" s="60">
        <v>7</v>
      </c>
      <c r="U7" s="60">
        <v>200000</v>
      </c>
    </row>
    <row r="8" spans="2:29" ht="15" thickTop="1" thickBot="1" x14ac:dyDescent="0.6">
      <c r="B8">
        <v>6</v>
      </c>
      <c r="C8" t="s">
        <v>29</v>
      </c>
      <c r="D8">
        <v>6</v>
      </c>
      <c r="E8" t="s">
        <v>120</v>
      </c>
      <c r="F8" s="58"/>
      <c r="H8" t="s">
        <v>29</v>
      </c>
      <c r="M8">
        <v>6</v>
      </c>
      <c r="N8" s="21" t="s">
        <v>127</v>
      </c>
      <c r="O8" s="20">
        <v>1.23</v>
      </c>
      <c r="R8" s="60">
        <v>7</v>
      </c>
      <c r="S8" s="60" t="s">
        <v>377</v>
      </c>
      <c r="T8" s="60">
        <v>8</v>
      </c>
      <c r="U8" s="78">
        <v>3000</v>
      </c>
    </row>
    <row r="9" spans="2:29" ht="15" thickTop="1" thickBot="1" x14ac:dyDescent="0.6">
      <c r="B9">
        <v>7</v>
      </c>
      <c r="C9" t="s">
        <v>271</v>
      </c>
      <c r="D9">
        <v>7</v>
      </c>
      <c r="E9" t="s">
        <v>121</v>
      </c>
      <c r="F9" s="58"/>
      <c r="K9" s="2"/>
      <c r="L9" s="2"/>
      <c r="M9">
        <v>7</v>
      </c>
      <c r="N9" s="21" t="s">
        <v>128</v>
      </c>
      <c r="O9" s="20">
        <v>0.99</v>
      </c>
      <c r="R9" s="60">
        <v>8</v>
      </c>
      <c r="S9" s="60" t="s">
        <v>378</v>
      </c>
      <c r="T9" s="60">
        <v>9</v>
      </c>
      <c r="U9" s="78">
        <v>3000</v>
      </c>
    </row>
    <row r="10" spans="2:29" ht="14.7" thickTop="1" x14ac:dyDescent="0.55000000000000004">
      <c r="B10">
        <v>8</v>
      </c>
      <c r="C10" t="s">
        <v>362</v>
      </c>
      <c r="D10">
        <v>8</v>
      </c>
      <c r="E10" t="s">
        <v>362</v>
      </c>
      <c r="F10" s="58"/>
      <c r="M10">
        <v>8</v>
      </c>
      <c r="N10" s="21" t="s">
        <v>129</v>
      </c>
      <c r="O10" s="20">
        <v>1.1499999999999999</v>
      </c>
    </row>
    <row r="11" spans="2:29" x14ac:dyDescent="0.55000000000000004">
      <c r="B11">
        <v>9</v>
      </c>
      <c r="C11" s="2" t="s">
        <v>371</v>
      </c>
      <c r="D11" s="2">
        <v>9</v>
      </c>
      <c r="E11" s="2" t="s">
        <v>371</v>
      </c>
      <c r="F11" s="58"/>
      <c r="H11" s="2"/>
      <c r="M11">
        <v>9</v>
      </c>
      <c r="N11" s="21" t="s">
        <v>130</v>
      </c>
      <c r="O11" s="20">
        <v>1.1499999999999999</v>
      </c>
      <c r="Q11" t="str">
        <f>DONOTTOUCH!C1</f>
        <v>Standard Adaptive Facility Envelope (SAFE1) Single Story</v>
      </c>
      <c r="S11" t="b">
        <f>IF(P1=2,IF(P1=3,IF(P1=4,)))</f>
        <v>0</v>
      </c>
    </row>
    <row r="12" spans="2:29" x14ac:dyDescent="0.55000000000000004">
      <c r="F12" s="58"/>
      <c r="M12">
        <v>10</v>
      </c>
      <c r="N12" s="21" t="s">
        <v>131</v>
      </c>
      <c r="O12" s="20">
        <v>0.86</v>
      </c>
    </row>
    <row r="13" spans="2:29" x14ac:dyDescent="0.55000000000000004">
      <c r="F13" s="58"/>
      <c r="M13">
        <v>11</v>
      </c>
      <c r="N13" s="21" t="s">
        <v>132</v>
      </c>
      <c r="O13" s="20">
        <v>0.87</v>
      </c>
      <c r="S13" t="str">
        <f>IF(R17=1, "3", IF(R17=2, "1", IF(R17=3, "4", IF(R17=4, "1", IF(R17=5, "1", IF(R17=6, "3", IF(R17=7, "1")))))))</f>
        <v>1</v>
      </c>
    </row>
    <row r="14" spans="2:29" x14ac:dyDescent="0.55000000000000004">
      <c r="F14" s="58"/>
      <c r="M14">
        <v>12</v>
      </c>
      <c r="N14" s="21" t="s">
        <v>133</v>
      </c>
      <c r="O14" s="20">
        <v>2.33</v>
      </c>
    </row>
    <row r="15" spans="2:29" x14ac:dyDescent="0.55000000000000004">
      <c r="F15" s="58"/>
      <c r="M15">
        <v>13</v>
      </c>
      <c r="N15" s="21" t="s">
        <v>134</v>
      </c>
      <c r="O15" s="20">
        <v>1</v>
      </c>
    </row>
    <row r="16" spans="2:29" x14ac:dyDescent="0.55000000000000004">
      <c r="F16" s="58"/>
      <c r="M16">
        <v>14</v>
      </c>
      <c r="N16" s="21" t="s">
        <v>135</v>
      </c>
      <c r="O16" s="20">
        <v>1.07</v>
      </c>
      <c r="W16" t="str">
        <f>VLOOKUP(Q1, W18:Z21, 4, FALSE)</f>
        <v>Protected Roof w/Parapet</v>
      </c>
      <c r="X16">
        <f>VLOOKUP(W16, S2:T7, 2, FALSE)</f>
        <v>4</v>
      </c>
    </row>
    <row r="17" spans="2:26" x14ac:dyDescent="0.55000000000000004">
      <c r="F17" s="58"/>
      <c r="M17">
        <v>15</v>
      </c>
      <c r="N17" s="21" t="s">
        <v>136</v>
      </c>
      <c r="O17" s="20">
        <v>0.98</v>
      </c>
      <c r="R17">
        <f>DONOTTOUCH!B1</f>
        <v>5</v>
      </c>
    </row>
    <row r="18" spans="2:26" x14ac:dyDescent="0.55000000000000004">
      <c r="F18" s="58"/>
      <c r="M18">
        <v>16</v>
      </c>
      <c r="N18" s="21" t="s">
        <v>137</v>
      </c>
      <c r="O18" s="20">
        <v>1.02</v>
      </c>
      <c r="Q18">
        <v>1</v>
      </c>
      <c r="R18" s="3" t="s">
        <v>35</v>
      </c>
      <c r="S18" s="3" t="s">
        <v>275</v>
      </c>
      <c r="T18" s="3"/>
      <c r="U18">
        <v>1</v>
      </c>
      <c r="V18">
        <f>IF($Q$11=R18, VLOOKUP($Q$11, R18:U27, 4, FALSE), "")</f>
        <v>1</v>
      </c>
      <c r="W18">
        <v>1</v>
      </c>
      <c r="X18">
        <f>SMALL($V$18:$V$33, 1)</f>
        <v>1</v>
      </c>
      <c r="Y18">
        <f>IFERROR(X18, "")</f>
        <v>1</v>
      </c>
      <c r="Z18" t="str">
        <f>IF($Y18="", "", VLOOKUP($X18, $Q$18:$S$33, 3, FALSE))</f>
        <v>Protected Roof w/Parapet</v>
      </c>
    </row>
    <row r="19" spans="2:26" x14ac:dyDescent="0.55000000000000004">
      <c r="F19" s="58"/>
      <c r="M19">
        <v>17</v>
      </c>
      <c r="N19" s="21" t="s">
        <v>138</v>
      </c>
      <c r="O19" s="20">
        <v>0.89</v>
      </c>
      <c r="Q19">
        <v>2</v>
      </c>
      <c r="R19" s="3" t="s">
        <v>35</v>
      </c>
      <c r="S19" s="3" t="s">
        <v>276</v>
      </c>
      <c r="T19" s="3"/>
      <c r="U19">
        <v>2</v>
      </c>
      <c r="V19">
        <f t="shared" ref="V19:V33" si="0">IF($Q$11=R19, VLOOKUP($Q$11, R19:U28, 4, FALSE), "")</f>
        <v>2</v>
      </c>
      <c r="W19">
        <v>2</v>
      </c>
      <c r="X19">
        <f>SMALL($V$18:$V$33, 2)</f>
        <v>2</v>
      </c>
      <c r="Y19">
        <f>IFERROR(X19, "")</f>
        <v>2</v>
      </c>
      <c r="Z19" t="str">
        <f>IF($Y19="", "", VLOOKUP($X19, $Q$18:$S$33, 3, FALSE))</f>
        <v>Protected Roof w/o Parapet</v>
      </c>
    </row>
    <row r="20" spans="2:26" x14ac:dyDescent="0.55000000000000004">
      <c r="F20" s="58"/>
      <c r="M20">
        <v>18</v>
      </c>
      <c r="N20" s="21" t="s">
        <v>139</v>
      </c>
      <c r="O20" s="20">
        <v>0.86</v>
      </c>
      <c r="Q20">
        <v>3</v>
      </c>
      <c r="R20" s="3" t="s">
        <v>26</v>
      </c>
      <c r="S20" s="3" t="s">
        <v>274</v>
      </c>
      <c r="T20" s="3"/>
      <c r="U20">
        <v>3</v>
      </c>
      <c r="V20" t="str">
        <f t="shared" si="0"/>
        <v/>
      </c>
      <c r="W20">
        <v>3</v>
      </c>
      <c r="X20" t="e">
        <f>SMALL($V$18:$V$33, 3)</f>
        <v>#NUM!</v>
      </c>
      <c r="Y20" t="str">
        <f>IFERROR(X20, "")</f>
        <v/>
      </c>
      <c r="Z20" t="str">
        <f>IF($Y20="", "", VLOOKUP($X20, $Q$18:$S$33, 3, FALSE))</f>
        <v/>
      </c>
    </row>
    <row r="21" spans="2:26" x14ac:dyDescent="0.55000000000000004">
      <c r="F21" s="58"/>
      <c r="M21">
        <v>19</v>
      </c>
      <c r="N21" s="21" t="s">
        <v>140</v>
      </c>
      <c r="O21" s="20">
        <v>0.84</v>
      </c>
      <c r="Q21">
        <v>4</v>
      </c>
      <c r="R21" s="3" t="s">
        <v>26</v>
      </c>
      <c r="S21" s="3" t="s">
        <v>273</v>
      </c>
      <c r="T21" s="3"/>
      <c r="U21">
        <v>4</v>
      </c>
      <c r="V21" t="str">
        <f t="shared" si="0"/>
        <v/>
      </c>
      <c r="W21">
        <v>4</v>
      </c>
      <c r="X21" t="e">
        <f>SMALL($V$18:$V$33,4)</f>
        <v>#NUM!</v>
      </c>
      <c r="Y21" t="str">
        <f>IFERROR(X21, "")</f>
        <v/>
      </c>
      <c r="Z21" t="str">
        <f>IF($Y21="", "", VLOOKUP($X21, $Q$18:$S$33, 3, FALSE))</f>
        <v/>
      </c>
    </row>
    <row r="22" spans="2:26" x14ac:dyDescent="0.55000000000000004">
      <c r="F22" s="58"/>
      <c r="M22">
        <v>20</v>
      </c>
      <c r="N22" s="21" t="s">
        <v>141</v>
      </c>
      <c r="O22" s="20">
        <v>1.03</v>
      </c>
      <c r="Q22">
        <v>5</v>
      </c>
      <c r="R22" s="3" t="s">
        <v>271</v>
      </c>
      <c r="S22" s="3" t="s">
        <v>274</v>
      </c>
      <c r="T22" s="3"/>
      <c r="U22">
        <v>5</v>
      </c>
      <c r="V22" t="str">
        <f t="shared" si="0"/>
        <v/>
      </c>
    </row>
    <row r="23" spans="2:26" x14ac:dyDescent="0.55000000000000004">
      <c r="F23" s="58"/>
      <c r="M23">
        <v>21</v>
      </c>
      <c r="N23" s="21" t="s">
        <v>142</v>
      </c>
      <c r="O23" s="20">
        <v>1</v>
      </c>
      <c r="Q23">
        <v>6</v>
      </c>
      <c r="R23" s="3" t="s">
        <v>271</v>
      </c>
      <c r="S23" s="3" t="s">
        <v>273</v>
      </c>
      <c r="T23" s="3"/>
      <c r="U23">
        <v>6</v>
      </c>
      <c r="V23" t="str">
        <f t="shared" si="0"/>
        <v/>
      </c>
    </row>
    <row r="24" spans="2:26" x14ac:dyDescent="0.55000000000000004">
      <c r="F24" s="58"/>
      <c r="M24">
        <v>22</v>
      </c>
      <c r="N24" s="21" t="s">
        <v>385</v>
      </c>
      <c r="O24" s="20">
        <v>1.24</v>
      </c>
      <c r="Q24">
        <v>7</v>
      </c>
      <c r="R24" s="3" t="s">
        <v>25</v>
      </c>
      <c r="S24" s="3" t="s">
        <v>376</v>
      </c>
      <c r="T24" s="3"/>
      <c r="U24">
        <v>7</v>
      </c>
      <c r="V24" t="str">
        <f t="shared" si="0"/>
        <v/>
      </c>
    </row>
    <row r="25" spans="2:26" x14ac:dyDescent="0.55000000000000004">
      <c r="F25" s="58"/>
      <c r="M25">
        <v>23</v>
      </c>
      <c r="N25" s="21" t="s">
        <v>143</v>
      </c>
      <c r="O25" s="20">
        <v>0.99</v>
      </c>
      <c r="Q25">
        <v>8</v>
      </c>
      <c r="R25" s="3" t="s">
        <v>30</v>
      </c>
      <c r="S25" s="3" t="s">
        <v>285</v>
      </c>
      <c r="T25" s="60"/>
      <c r="U25">
        <v>8</v>
      </c>
      <c r="V25" t="str">
        <f t="shared" si="0"/>
        <v/>
      </c>
    </row>
    <row r="26" spans="2:26" x14ac:dyDescent="0.55000000000000004">
      <c r="F26" s="10"/>
      <c r="M26">
        <v>24</v>
      </c>
      <c r="N26" s="21" t="s">
        <v>144</v>
      </c>
      <c r="O26" s="20">
        <v>1.0900000000000001</v>
      </c>
      <c r="Q26">
        <v>9</v>
      </c>
      <c r="R26" s="3" t="s">
        <v>270</v>
      </c>
      <c r="S26" s="3" t="s">
        <v>275</v>
      </c>
      <c r="T26" s="3"/>
      <c r="U26">
        <v>9</v>
      </c>
      <c r="V26" t="str">
        <f t="shared" si="0"/>
        <v/>
      </c>
    </row>
    <row r="27" spans="2:26" x14ac:dyDescent="0.55000000000000004">
      <c r="M27">
        <v>25</v>
      </c>
      <c r="N27" s="21" t="s">
        <v>145</v>
      </c>
      <c r="O27" s="20">
        <v>1</v>
      </c>
      <c r="Q27">
        <v>10</v>
      </c>
      <c r="R27" s="3" t="s">
        <v>270</v>
      </c>
      <c r="S27" s="3" t="s">
        <v>276</v>
      </c>
      <c r="T27" s="3"/>
      <c r="U27">
        <v>10</v>
      </c>
      <c r="V27" t="str">
        <f t="shared" si="0"/>
        <v/>
      </c>
    </row>
    <row r="28" spans="2:26" x14ac:dyDescent="0.55000000000000004">
      <c r="M28">
        <v>26</v>
      </c>
      <c r="N28" s="21" t="s">
        <v>146</v>
      </c>
      <c r="O28" s="20">
        <v>1.01</v>
      </c>
      <c r="Q28">
        <v>11</v>
      </c>
      <c r="R28" s="3" t="s">
        <v>29</v>
      </c>
      <c r="S28" s="3" t="s">
        <v>274</v>
      </c>
      <c r="T28" s="3"/>
      <c r="U28">
        <v>11</v>
      </c>
      <c r="V28" t="str">
        <f t="shared" si="0"/>
        <v/>
      </c>
    </row>
    <row r="29" spans="2:26" x14ac:dyDescent="0.55000000000000004">
      <c r="M29">
        <v>27</v>
      </c>
      <c r="N29" s="21" t="s">
        <v>147</v>
      </c>
      <c r="O29" s="20">
        <v>1.1200000000000001</v>
      </c>
      <c r="Q29">
        <v>12</v>
      </c>
      <c r="R29" s="3" t="s">
        <v>29</v>
      </c>
      <c r="S29" s="3" t="s">
        <v>273</v>
      </c>
      <c r="T29" s="3"/>
      <c r="U29">
        <v>12</v>
      </c>
      <c r="V29" t="str">
        <f t="shared" si="0"/>
        <v/>
      </c>
    </row>
    <row r="30" spans="2:26" x14ac:dyDescent="0.55000000000000004">
      <c r="B30" s="12"/>
      <c r="C30" s="16"/>
      <c r="D30">
        <v>11</v>
      </c>
      <c r="M30">
        <v>28</v>
      </c>
      <c r="N30" s="21" t="s">
        <v>148</v>
      </c>
      <c r="O30" s="20">
        <v>0.92</v>
      </c>
      <c r="Q30">
        <v>13</v>
      </c>
      <c r="R30" s="3" t="s">
        <v>362</v>
      </c>
      <c r="S30" s="3" t="s">
        <v>376</v>
      </c>
      <c r="U30">
        <v>13</v>
      </c>
      <c r="V30" t="str">
        <f t="shared" si="0"/>
        <v/>
      </c>
    </row>
    <row r="31" spans="2:26" x14ac:dyDescent="0.55000000000000004">
      <c r="B31" s="70"/>
      <c r="K31" s="70"/>
      <c r="M31">
        <v>29</v>
      </c>
      <c r="N31" s="21" t="s">
        <v>149</v>
      </c>
      <c r="O31" s="20">
        <v>1.1599999999999999</v>
      </c>
      <c r="Q31">
        <v>14</v>
      </c>
      <c r="R31" s="3" t="s">
        <v>371</v>
      </c>
      <c r="S31" s="3" t="s">
        <v>376</v>
      </c>
      <c r="U31">
        <v>14</v>
      </c>
      <c r="V31" t="str">
        <f t="shared" si="0"/>
        <v/>
      </c>
    </row>
    <row r="32" spans="2:26" x14ac:dyDescent="0.55000000000000004">
      <c r="B32" s="70"/>
      <c r="D32">
        <v>2</v>
      </c>
      <c r="K32" s="70"/>
      <c r="M32">
        <v>30</v>
      </c>
      <c r="N32" s="21" t="s">
        <v>150</v>
      </c>
      <c r="O32" s="20">
        <v>1.07</v>
      </c>
      <c r="Q32">
        <v>15</v>
      </c>
      <c r="R32" s="60" t="s">
        <v>25</v>
      </c>
      <c r="S32" s="60" t="s">
        <v>377</v>
      </c>
      <c r="U32">
        <v>15</v>
      </c>
      <c r="V32" t="str">
        <f t="shared" si="0"/>
        <v/>
      </c>
    </row>
    <row r="33" spans="2:22" x14ac:dyDescent="0.55000000000000004">
      <c r="B33" s="70"/>
      <c r="K33" s="70"/>
      <c r="M33">
        <v>31</v>
      </c>
      <c r="N33" s="21" t="s">
        <v>151</v>
      </c>
      <c r="O33" s="20">
        <v>1.26</v>
      </c>
      <c r="Q33">
        <v>16</v>
      </c>
      <c r="R33" t="s">
        <v>25</v>
      </c>
      <c r="S33" s="60" t="s">
        <v>378</v>
      </c>
      <c r="U33">
        <v>16</v>
      </c>
      <c r="V33" t="str">
        <f t="shared" si="0"/>
        <v/>
      </c>
    </row>
    <row r="34" spans="2:22" x14ac:dyDescent="0.55000000000000004">
      <c r="B34" s="70"/>
      <c r="K34" s="70"/>
      <c r="M34">
        <v>32</v>
      </c>
      <c r="N34" s="21" t="s">
        <v>152</v>
      </c>
      <c r="O34" s="20">
        <v>0.92</v>
      </c>
    </row>
    <row r="35" spans="2:22" x14ac:dyDescent="0.55000000000000004">
      <c r="B35" s="70"/>
      <c r="K35" s="70"/>
      <c r="M35">
        <v>33</v>
      </c>
      <c r="N35" s="21" t="s">
        <v>153</v>
      </c>
      <c r="O35" s="20">
        <v>1.08</v>
      </c>
    </row>
    <row r="36" spans="2:22" x14ac:dyDescent="0.55000000000000004">
      <c r="B36" s="70"/>
      <c r="D36">
        <v>1</v>
      </c>
      <c r="H36" t="str">
        <f>VLOOKUP(D36, DONOTTOUCH!P2:T25, 5, FALSE)</f>
        <v>Blank Floor Plan</v>
      </c>
      <c r="K36" s="70"/>
      <c r="M36">
        <v>34</v>
      </c>
      <c r="N36" s="21" t="s">
        <v>154</v>
      </c>
      <c r="O36" s="20">
        <v>0.91</v>
      </c>
    </row>
    <row r="37" spans="2:22" x14ac:dyDescent="0.55000000000000004">
      <c r="K37" s="70"/>
      <c r="M37">
        <v>35</v>
      </c>
      <c r="N37" s="21" t="s">
        <v>155</v>
      </c>
      <c r="O37" s="20">
        <v>1.1100000000000001</v>
      </c>
    </row>
    <row r="38" spans="2:22" x14ac:dyDescent="0.55000000000000004">
      <c r="K38" s="70"/>
      <c r="M38">
        <v>36</v>
      </c>
      <c r="N38" s="21" t="s">
        <v>156</v>
      </c>
      <c r="O38" s="20">
        <v>0.94</v>
      </c>
    </row>
    <row r="39" spans="2:22" x14ac:dyDescent="0.55000000000000004">
      <c r="M39">
        <v>37</v>
      </c>
      <c r="N39" s="21" t="s">
        <v>157</v>
      </c>
      <c r="O39" s="20">
        <v>0.83</v>
      </c>
    </row>
    <row r="40" spans="2:22" x14ac:dyDescent="0.55000000000000004">
      <c r="M40">
        <v>38</v>
      </c>
      <c r="N40" s="21" t="s">
        <v>158</v>
      </c>
      <c r="O40" s="20">
        <v>1.1599999999999999</v>
      </c>
    </row>
    <row r="41" spans="2:22" x14ac:dyDescent="0.55000000000000004">
      <c r="K41" s="70"/>
      <c r="M41">
        <v>39</v>
      </c>
      <c r="N41" s="23" t="s">
        <v>159</v>
      </c>
      <c r="O41" s="24">
        <v>1.1599999999999999</v>
      </c>
    </row>
    <row r="42" spans="2:22" x14ac:dyDescent="0.55000000000000004">
      <c r="M42">
        <v>40</v>
      </c>
      <c r="N42" s="21" t="s">
        <v>160</v>
      </c>
      <c r="O42" s="20">
        <v>1.23</v>
      </c>
    </row>
    <row r="43" spans="2:22" x14ac:dyDescent="0.55000000000000004">
      <c r="M43">
        <v>41</v>
      </c>
      <c r="N43" s="21" t="s">
        <v>161</v>
      </c>
      <c r="O43" s="20">
        <v>0.88</v>
      </c>
    </row>
    <row r="44" spans="2:22" x14ac:dyDescent="0.55000000000000004">
      <c r="M44">
        <v>42</v>
      </c>
      <c r="N44" s="21" t="s">
        <v>162</v>
      </c>
      <c r="O44" s="20">
        <v>0.97</v>
      </c>
    </row>
    <row r="45" spans="2:22" x14ac:dyDescent="0.55000000000000004">
      <c r="D45" s="100"/>
      <c r="E45" s="100"/>
      <c r="F45" s="100"/>
      <c r="M45">
        <v>43</v>
      </c>
      <c r="N45" s="21" t="s">
        <v>163</v>
      </c>
      <c r="O45" s="20">
        <v>0.86</v>
      </c>
    </row>
    <row r="46" spans="2:22" x14ac:dyDescent="0.55000000000000004">
      <c r="D46" s="100"/>
      <c r="E46" s="100"/>
      <c r="F46" s="100"/>
      <c r="M46">
        <v>44</v>
      </c>
      <c r="N46" s="21" t="s">
        <v>164</v>
      </c>
      <c r="O46" s="20">
        <v>0.88</v>
      </c>
    </row>
    <row r="47" spans="2:22" x14ac:dyDescent="0.55000000000000004">
      <c r="M47">
        <v>45</v>
      </c>
      <c r="N47" s="21" t="s">
        <v>165</v>
      </c>
      <c r="O47" s="20">
        <v>1.07</v>
      </c>
    </row>
    <row r="48" spans="2:22" x14ac:dyDescent="0.55000000000000004">
      <c r="E48">
        <v>2</v>
      </c>
      <c r="F48" t="str">
        <f>IF(E48=1, "Troop Labor", "Contractor")</f>
        <v>Contractor</v>
      </c>
      <c r="M48">
        <v>46</v>
      </c>
      <c r="N48" s="21" t="s">
        <v>166</v>
      </c>
      <c r="O48" s="20">
        <v>1.01</v>
      </c>
    </row>
    <row r="49" spans="2:15" x14ac:dyDescent="0.55000000000000004">
      <c r="E49" s="17" t="s">
        <v>239</v>
      </c>
      <c r="F49" t="s">
        <v>240</v>
      </c>
      <c r="G49" t="s">
        <v>238</v>
      </c>
      <c r="M49">
        <v>47</v>
      </c>
      <c r="N49" s="21" t="s">
        <v>167</v>
      </c>
      <c r="O49" s="20">
        <v>0.82</v>
      </c>
    </row>
    <row r="50" spans="2:15" x14ac:dyDescent="0.55000000000000004">
      <c r="B50" t="s">
        <v>118</v>
      </c>
      <c r="C50">
        <v>1</v>
      </c>
      <c r="D50" t="s">
        <v>94</v>
      </c>
      <c r="E50">
        <v>10000</v>
      </c>
      <c r="F50">
        <v>15000</v>
      </c>
      <c r="G50">
        <v>40</v>
      </c>
      <c r="H50">
        <f>IF($E$48=1, E50, F50)</f>
        <v>15000</v>
      </c>
      <c r="I50">
        <v>36</v>
      </c>
      <c r="J50">
        <f>E50/I50</f>
        <v>277.77777777777777</v>
      </c>
      <c r="K50">
        <f>F50/I50</f>
        <v>416.66666666666669</v>
      </c>
      <c r="M50">
        <v>48</v>
      </c>
      <c r="N50" s="21" t="s">
        <v>168</v>
      </c>
      <c r="O50" s="20">
        <v>1.1100000000000001</v>
      </c>
    </row>
    <row r="51" spans="2:15" x14ac:dyDescent="0.55000000000000004">
      <c r="B51" t="s">
        <v>94</v>
      </c>
      <c r="C51">
        <v>2</v>
      </c>
      <c r="D51" t="s">
        <v>116</v>
      </c>
      <c r="E51">
        <v>365000</v>
      </c>
      <c r="F51">
        <v>660000</v>
      </c>
      <c r="G51">
        <v>3700</v>
      </c>
      <c r="H51">
        <f t="shared" ref="H51:H58" si="1">IF($E$48=1, E51, F51)</f>
        <v>660000</v>
      </c>
      <c r="I51">
        <v>442.5</v>
      </c>
      <c r="J51">
        <f t="shared" ref="J51:J58" si="2">E51/I51</f>
        <v>824.85875706214688</v>
      </c>
      <c r="K51">
        <f t="shared" ref="K51:K57" si="3">F51/I51</f>
        <v>1491.5254237288136</v>
      </c>
      <c r="M51">
        <v>49</v>
      </c>
      <c r="N51" s="21" t="s">
        <v>169</v>
      </c>
      <c r="O51" s="20">
        <v>1.08</v>
      </c>
    </row>
    <row r="52" spans="2:15" x14ac:dyDescent="0.55000000000000004">
      <c r="B52" t="s">
        <v>119</v>
      </c>
      <c r="C52">
        <v>3</v>
      </c>
      <c r="D52" t="s">
        <v>117</v>
      </c>
      <c r="E52">
        <v>1408000</v>
      </c>
      <c r="F52">
        <f>E52*1.3</f>
        <v>1830400</v>
      </c>
      <c r="G52">
        <v>14650</v>
      </c>
      <c r="H52">
        <f t="shared" si="1"/>
        <v>1830400</v>
      </c>
      <c r="I52">
        <v>390</v>
      </c>
      <c r="J52">
        <f t="shared" si="2"/>
        <v>3610.2564102564102</v>
      </c>
      <c r="K52">
        <f t="shared" si="3"/>
        <v>4693.333333333333</v>
      </c>
      <c r="M52">
        <v>50</v>
      </c>
      <c r="N52" s="21" t="s">
        <v>170</v>
      </c>
      <c r="O52" s="20">
        <v>1.05</v>
      </c>
    </row>
    <row r="53" spans="2:15" x14ac:dyDescent="0.55000000000000004">
      <c r="B53" t="s">
        <v>121</v>
      </c>
      <c r="C53">
        <v>4</v>
      </c>
      <c r="D53" t="s">
        <v>118</v>
      </c>
      <c r="E53">
        <v>610000</v>
      </c>
      <c r="F53" s="51">
        <v>1175000</v>
      </c>
      <c r="G53">
        <v>10500</v>
      </c>
      <c r="H53">
        <f t="shared" si="1"/>
        <v>1175000</v>
      </c>
      <c r="I53">
        <v>885</v>
      </c>
      <c r="J53">
        <f t="shared" si="2"/>
        <v>689.26553672316379</v>
      </c>
      <c r="K53">
        <f t="shared" si="3"/>
        <v>1327.6836158192091</v>
      </c>
      <c r="M53">
        <v>51</v>
      </c>
      <c r="N53" s="21" t="s">
        <v>171</v>
      </c>
      <c r="O53" s="20">
        <v>1.1399999999999999</v>
      </c>
    </row>
    <row r="54" spans="2:15" x14ac:dyDescent="0.55000000000000004">
      <c r="B54" t="s">
        <v>116</v>
      </c>
      <c r="C54">
        <v>5</v>
      </c>
      <c r="D54" t="s">
        <v>119</v>
      </c>
      <c r="E54">
        <v>352000</v>
      </c>
      <c r="F54">
        <v>665000</v>
      </c>
      <c r="G54">
        <v>6000</v>
      </c>
      <c r="H54">
        <f>IF($E$48=1, E54, F54)</f>
        <v>665000</v>
      </c>
      <c r="I54">
        <v>442.5</v>
      </c>
      <c r="J54">
        <f t="shared" si="2"/>
        <v>795.48022598870057</v>
      </c>
      <c r="K54">
        <f t="shared" si="3"/>
        <v>1502.8248587570622</v>
      </c>
      <c r="M54">
        <v>52</v>
      </c>
      <c r="N54" s="21" t="s">
        <v>172</v>
      </c>
      <c r="O54" s="20">
        <v>1</v>
      </c>
    </row>
    <row r="55" spans="2:15" x14ac:dyDescent="0.55000000000000004">
      <c r="B55" t="s">
        <v>120</v>
      </c>
      <c r="C55">
        <v>6</v>
      </c>
      <c r="D55" t="s">
        <v>120</v>
      </c>
      <c r="E55">
        <v>250000</v>
      </c>
      <c r="F55">
        <v>320000</v>
      </c>
      <c r="G55">
        <v>1255</v>
      </c>
      <c r="H55">
        <f t="shared" si="1"/>
        <v>320000</v>
      </c>
      <c r="I55">
        <v>433</v>
      </c>
      <c r="J55">
        <f t="shared" si="2"/>
        <v>577.36720554272517</v>
      </c>
      <c r="K55">
        <f t="shared" si="3"/>
        <v>739.0300230946882</v>
      </c>
      <c r="M55">
        <v>53</v>
      </c>
      <c r="N55" s="25" t="s">
        <v>13</v>
      </c>
      <c r="O55" s="20">
        <v>1.89</v>
      </c>
    </row>
    <row r="56" spans="2:15" x14ac:dyDescent="0.55000000000000004">
      <c r="B56" t="s">
        <v>117</v>
      </c>
      <c r="C56">
        <v>7</v>
      </c>
      <c r="D56" t="s">
        <v>121</v>
      </c>
      <c r="E56">
        <v>315000</v>
      </c>
      <c r="F56">
        <v>365000</v>
      </c>
      <c r="G56">
        <v>2886</v>
      </c>
      <c r="H56">
        <f t="shared" si="1"/>
        <v>365000</v>
      </c>
      <c r="I56">
        <v>885</v>
      </c>
      <c r="J56">
        <f t="shared" si="2"/>
        <v>355.93220338983053</v>
      </c>
      <c r="K56">
        <f t="shared" si="3"/>
        <v>412.42937853107344</v>
      </c>
      <c r="M56">
        <v>54</v>
      </c>
      <c r="N56" s="25" t="s">
        <v>173</v>
      </c>
      <c r="O56" s="20">
        <v>1.03</v>
      </c>
    </row>
    <row r="57" spans="2:15" x14ac:dyDescent="0.55000000000000004">
      <c r="B57" t="s">
        <v>362</v>
      </c>
      <c r="C57">
        <v>8</v>
      </c>
      <c r="D57" t="s">
        <v>362</v>
      </c>
      <c r="E57">
        <v>5000</v>
      </c>
      <c r="F57">
        <v>7500</v>
      </c>
      <c r="H57">
        <f t="shared" si="1"/>
        <v>7500</v>
      </c>
      <c r="I57">
        <v>6</v>
      </c>
      <c r="J57">
        <f t="shared" si="2"/>
        <v>833.33333333333337</v>
      </c>
      <c r="K57">
        <f t="shared" si="3"/>
        <v>1250</v>
      </c>
      <c r="M57">
        <v>55</v>
      </c>
      <c r="N57" s="25" t="s">
        <v>174</v>
      </c>
      <c r="O57" s="20">
        <v>1.93</v>
      </c>
    </row>
    <row r="58" spans="2:15" x14ac:dyDescent="0.55000000000000004">
      <c r="B58" t="s">
        <v>395</v>
      </c>
      <c r="C58">
        <v>9</v>
      </c>
      <c r="D58" t="s">
        <v>395</v>
      </c>
      <c r="E58">
        <f>5*E50</f>
        <v>50000</v>
      </c>
      <c r="F58">
        <f>5*F50</f>
        <v>75000</v>
      </c>
      <c r="H58">
        <f t="shared" si="1"/>
        <v>75000</v>
      </c>
      <c r="I58">
        <f>I50*2.5</f>
        <v>90</v>
      </c>
      <c r="J58">
        <f t="shared" si="2"/>
        <v>555.55555555555554</v>
      </c>
      <c r="K58">
        <f>F58/I58</f>
        <v>833.33333333333337</v>
      </c>
      <c r="M58">
        <v>56</v>
      </c>
      <c r="N58" s="25" t="s">
        <v>175</v>
      </c>
      <c r="O58" s="80">
        <v>0.89</v>
      </c>
    </row>
    <row r="59" spans="2:15" x14ac:dyDescent="0.55000000000000004">
      <c r="G59">
        <f>VLOOKUP(DONOTTOUCH!J1, DropdownsDNT!D50:G56, 4, FALSE)</f>
        <v>6000</v>
      </c>
      <c r="M59">
        <v>57</v>
      </c>
      <c r="N59" s="25" t="s">
        <v>176</v>
      </c>
      <c r="O59" s="20">
        <v>1.43</v>
      </c>
    </row>
    <row r="60" spans="2:15" x14ac:dyDescent="0.55000000000000004">
      <c r="M60">
        <v>58</v>
      </c>
      <c r="N60" s="25" t="s">
        <v>177</v>
      </c>
      <c r="O60" s="80">
        <v>1.03</v>
      </c>
    </row>
    <row r="61" spans="2:15" x14ac:dyDescent="0.55000000000000004">
      <c r="M61">
        <v>59</v>
      </c>
      <c r="N61" s="25" t="s">
        <v>178</v>
      </c>
      <c r="O61" s="20">
        <v>1.5</v>
      </c>
    </row>
    <row r="62" spans="2:15" x14ac:dyDescent="0.55000000000000004">
      <c r="M62">
        <v>60</v>
      </c>
      <c r="N62" s="25" t="s">
        <v>179</v>
      </c>
      <c r="O62" s="20">
        <v>1.81</v>
      </c>
    </row>
    <row r="63" spans="2:15" x14ac:dyDescent="0.55000000000000004">
      <c r="M63">
        <v>61</v>
      </c>
      <c r="N63" s="25" t="s">
        <v>15</v>
      </c>
      <c r="O63" s="20">
        <v>1.03</v>
      </c>
    </row>
    <row r="64" spans="2:15" x14ac:dyDescent="0.55000000000000004">
      <c r="M64">
        <v>62</v>
      </c>
      <c r="N64" s="25" t="s">
        <v>180</v>
      </c>
      <c r="O64" s="20">
        <v>0.92</v>
      </c>
    </row>
    <row r="65" spans="2:18" x14ac:dyDescent="0.55000000000000004">
      <c r="C65" t="s">
        <v>32</v>
      </c>
      <c r="M65">
        <v>63</v>
      </c>
      <c r="N65" s="25" t="s">
        <v>181</v>
      </c>
      <c r="O65" s="20">
        <v>0.82</v>
      </c>
    </row>
    <row r="66" spans="2:18" x14ac:dyDescent="0.55000000000000004">
      <c r="C66" t="s">
        <v>31</v>
      </c>
      <c r="M66">
        <v>64</v>
      </c>
      <c r="N66" s="26" t="s">
        <v>182</v>
      </c>
      <c r="O66" s="80">
        <v>1.2</v>
      </c>
      <c r="R66" t="s">
        <v>388</v>
      </c>
    </row>
    <row r="67" spans="2:18" x14ac:dyDescent="0.55000000000000004">
      <c r="M67">
        <v>65</v>
      </c>
      <c r="N67" s="25" t="s">
        <v>183</v>
      </c>
      <c r="O67" s="80">
        <v>1.02</v>
      </c>
    </row>
    <row r="68" spans="2:18" x14ac:dyDescent="0.55000000000000004">
      <c r="M68">
        <v>66</v>
      </c>
      <c r="N68" s="25" t="s">
        <v>184</v>
      </c>
      <c r="O68" s="80">
        <v>1.0900000000000001</v>
      </c>
    </row>
    <row r="69" spans="2:18" x14ac:dyDescent="0.55000000000000004">
      <c r="D69" t="str">
        <f>VLOOKUP(DONOTTOUCH!J1, DropdownsDNT!B72:E80, 4, FALSE)</f>
        <v>14 Bay, 9.8m x 34.3m, 442.5 m2</v>
      </c>
      <c r="M69">
        <v>67</v>
      </c>
      <c r="N69" s="25" t="s">
        <v>185</v>
      </c>
      <c r="O69" s="20">
        <v>0.83</v>
      </c>
    </row>
    <row r="70" spans="2:18" x14ac:dyDescent="0.55000000000000004">
      <c r="C70" t="s">
        <v>237</v>
      </c>
      <c r="D70" t="str">
        <f>VLOOKUP(DONOTTOUCH!J1, DropdownsDNT!B72:D80, 3, FALSE)</f>
        <v>Concrete Framing w/ CMU infill</v>
      </c>
      <c r="M70">
        <v>68</v>
      </c>
      <c r="N70" s="25" t="s">
        <v>186</v>
      </c>
      <c r="O70" s="20">
        <v>1.1200000000000001</v>
      </c>
    </row>
    <row r="71" spans="2:18" x14ac:dyDescent="0.55000000000000004">
      <c r="D71" t="str">
        <f>VLOOKUP(DONOTTOUCH!J1, DropdownsDNT!B72:C80, 2, FALSE)</f>
        <v>a "bay" consists of a 24'x16' section. The default SAFE Envelope consists of 14 Bays. The facilities can be stretched or shortened modularly per "bay" width
Construction Material: Concrete Frame with CMU Infill
Roof Type: Protected structure with integral protective roof
Occupancy: semi-permanent facility to be occupied no more than 25 years.</v>
      </c>
      <c r="M71">
        <v>69</v>
      </c>
      <c r="N71" s="27" t="s">
        <v>187</v>
      </c>
      <c r="O71" s="80">
        <v>0.83</v>
      </c>
    </row>
    <row r="72" spans="2:18" ht="115.2" x14ac:dyDescent="0.55000000000000004">
      <c r="B72" t="s">
        <v>94</v>
      </c>
      <c r="C72" s="18" t="s">
        <v>241</v>
      </c>
      <c r="D72" s="82" t="s">
        <v>298</v>
      </c>
      <c r="E72" s="81" t="s">
        <v>299</v>
      </c>
      <c r="M72">
        <v>70</v>
      </c>
      <c r="N72" s="25" t="s">
        <v>188</v>
      </c>
      <c r="O72" s="20">
        <v>0.77</v>
      </c>
    </row>
    <row r="73" spans="2:18" ht="144" x14ac:dyDescent="0.55000000000000004">
      <c r="B73" t="s">
        <v>119</v>
      </c>
      <c r="C73" s="18" t="s">
        <v>295</v>
      </c>
      <c r="D73" t="s">
        <v>304</v>
      </c>
      <c r="E73" s="18" t="s">
        <v>302</v>
      </c>
      <c r="M73">
        <v>71</v>
      </c>
      <c r="N73" s="26" t="s">
        <v>189</v>
      </c>
      <c r="O73" s="80">
        <v>1.03</v>
      </c>
    </row>
    <row r="74" spans="2:18" ht="144" x14ac:dyDescent="0.55000000000000004">
      <c r="B74" t="s">
        <v>118</v>
      </c>
      <c r="C74" s="18" t="s">
        <v>295</v>
      </c>
      <c r="D74" t="s">
        <v>304</v>
      </c>
      <c r="E74" s="18" t="s">
        <v>305</v>
      </c>
      <c r="M74">
        <v>72</v>
      </c>
      <c r="N74" s="25" t="s">
        <v>190</v>
      </c>
      <c r="O74" s="20">
        <v>1.33</v>
      </c>
    </row>
    <row r="75" spans="2:18" ht="144" x14ac:dyDescent="0.55000000000000004">
      <c r="B75" t="s">
        <v>121</v>
      </c>
      <c r="C75" s="18" t="s">
        <v>296</v>
      </c>
      <c r="D75" t="s">
        <v>303</v>
      </c>
      <c r="E75" s="18" t="s">
        <v>305</v>
      </c>
      <c r="M75">
        <v>73</v>
      </c>
      <c r="N75" s="25" t="s">
        <v>191</v>
      </c>
      <c r="O75" s="20">
        <v>0.74</v>
      </c>
    </row>
    <row r="76" spans="2:18" ht="158.4" x14ac:dyDescent="0.55000000000000004">
      <c r="B76" t="s">
        <v>116</v>
      </c>
      <c r="C76" s="18" t="s">
        <v>297</v>
      </c>
      <c r="D76" t="s">
        <v>301</v>
      </c>
      <c r="E76" s="18" t="s">
        <v>302</v>
      </c>
      <c r="M76">
        <v>74</v>
      </c>
      <c r="N76" s="25" t="s">
        <v>192</v>
      </c>
      <c r="O76" s="20">
        <v>2.31</v>
      </c>
    </row>
    <row r="77" spans="2:18" ht="158.4" x14ac:dyDescent="0.55000000000000004">
      <c r="B77" t="s">
        <v>120</v>
      </c>
      <c r="C77" s="18" t="s">
        <v>309</v>
      </c>
      <c r="D77" s="18" t="s">
        <v>307</v>
      </c>
      <c r="E77" s="18" t="s">
        <v>308</v>
      </c>
      <c r="M77">
        <v>75</v>
      </c>
      <c r="N77" s="25" t="s">
        <v>193</v>
      </c>
      <c r="O77" s="80">
        <v>0.97</v>
      </c>
    </row>
    <row r="78" spans="2:18" ht="115.2" x14ac:dyDescent="0.55000000000000004">
      <c r="B78" t="s">
        <v>117</v>
      </c>
      <c r="C78" s="18" t="s">
        <v>393</v>
      </c>
      <c r="D78" s="18" t="s">
        <v>300</v>
      </c>
      <c r="E78" s="18" t="s">
        <v>390</v>
      </c>
      <c r="M78">
        <v>76</v>
      </c>
      <c r="N78" s="25" t="s">
        <v>194</v>
      </c>
      <c r="O78" s="20">
        <v>2.83</v>
      </c>
    </row>
    <row r="79" spans="2:18" ht="43.9" customHeight="1" x14ac:dyDescent="0.55000000000000004">
      <c r="B79" t="s">
        <v>362</v>
      </c>
      <c r="C79" s="18" t="s">
        <v>379</v>
      </c>
      <c r="D79" t="s">
        <v>298</v>
      </c>
      <c r="E79" s="18" t="s">
        <v>381</v>
      </c>
      <c r="M79">
        <v>77</v>
      </c>
      <c r="N79" s="25" t="s">
        <v>195</v>
      </c>
      <c r="O79" s="80">
        <v>1.1100000000000001</v>
      </c>
    </row>
    <row r="80" spans="2:18" ht="39" customHeight="1" x14ac:dyDescent="0.55000000000000004">
      <c r="B80" t="s">
        <v>395</v>
      </c>
      <c r="C80" s="18" t="s">
        <v>380</v>
      </c>
      <c r="D80" t="s">
        <v>298</v>
      </c>
      <c r="E80" s="18" t="s">
        <v>373</v>
      </c>
      <c r="M80">
        <v>78</v>
      </c>
      <c r="N80" s="25" t="s">
        <v>3</v>
      </c>
      <c r="O80" s="20">
        <v>1.08</v>
      </c>
    </row>
    <row r="81" spans="13:15" x14ac:dyDescent="0.55000000000000004">
      <c r="M81">
        <v>79</v>
      </c>
      <c r="N81" s="25" t="s">
        <v>196</v>
      </c>
      <c r="O81" s="20">
        <v>1.25</v>
      </c>
    </row>
    <row r="82" spans="13:15" x14ac:dyDescent="0.55000000000000004">
      <c r="M82">
        <v>80</v>
      </c>
      <c r="N82" s="25" t="s">
        <v>197</v>
      </c>
      <c r="O82" s="20">
        <v>1.01</v>
      </c>
    </row>
    <row r="83" spans="13:15" x14ac:dyDescent="0.55000000000000004">
      <c r="M83">
        <v>81</v>
      </c>
      <c r="N83" s="25" t="s">
        <v>198</v>
      </c>
      <c r="O83" s="20">
        <v>1.07</v>
      </c>
    </row>
    <row r="84" spans="13:15" x14ac:dyDescent="0.55000000000000004">
      <c r="M84">
        <v>82</v>
      </c>
      <c r="N84" s="25" t="s">
        <v>199</v>
      </c>
      <c r="O84" s="20">
        <v>0.97</v>
      </c>
    </row>
    <row r="85" spans="13:15" x14ac:dyDescent="0.55000000000000004">
      <c r="M85">
        <v>83</v>
      </c>
      <c r="N85" s="25" t="s">
        <v>200</v>
      </c>
      <c r="O85" s="20">
        <v>0.87</v>
      </c>
    </row>
    <row r="86" spans="13:15" x14ac:dyDescent="0.55000000000000004">
      <c r="M86">
        <v>84</v>
      </c>
      <c r="N86" s="25" t="s">
        <v>201</v>
      </c>
      <c r="O86" s="20">
        <v>3.21</v>
      </c>
    </row>
    <row r="87" spans="13:15" x14ac:dyDescent="0.55000000000000004">
      <c r="M87">
        <v>85</v>
      </c>
      <c r="N87" s="25" t="s">
        <v>202</v>
      </c>
      <c r="O87" s="20">
        <v>2.75</v>
      </c>
    </row>
    <row r="88" spans="13:15" x14ac:dyDescent="0.55000000000000004">
      <c r="M88">
        <v>86</v>
      </c>
      <c r="N88" s="25" t="s">
        <v>203</v>
      </c>
      <c r="O88" s="80">
        <v>1</v>
      </c>
    </row>
    <row r="89" spans="13:15" x14ac:dyDescent="0.55000000000000004">
      <c r="M89">
        <v>87</v>
      </c>
      <c r="N89" s="25" t="s">
        <v>204</v>
      </c>
      <c r="O89" s="80">
        <v>1.17</v>
      </c>
    </row>
    <row r="90" spans="13:15" x14ac:dyDescent="0.55000000000000004">
      <c r="M90">
        <v>88</v>
      </c>
      <c r="N90" s="25" t="s">
        <v>205</v>
      </c>
      <c r="O90" s="20">
        <v>1.22</v>
      </c>
    </row>
    <row r="91" spans="13:15" x14ac:dyDescent="0.55000000000000004">
      <c r="M91">
        <v>89</v>
      </c>
      <c r="N91" s="25" t="s">
        <v>206</v>
      </c>
      <c r="O91" s="20">
        <v>1.07</v>
      </c>
    </row>
    <row r="92" spans="13:15" x14ac:dyDescent="0.55000000000000004">
      <c r="M92">
        <v>90</v>
      </c>
      <c r="N92" s="25" t="s">
        <v>207</v>
      </c>
      <c r="O92" s="20">
        <v>1.57</v>
      </c>
    </row>
    <row r="93" spans="13:15" x14ac:dyDescent="0.55000000000000004">
      <c r="M93">
        <v>91</v>
      </c>
      <c r="N93" s="25" t="s">
        <v>208</v>
      </c>
      <c r="O93" s="80">
        <v>0.94</v>
      </c>
    </row>
    <row r="94" spans="13:15" x14ac:dyDescent="0.55000000000000004">
      <c r="M94">
        <v>92</v>
      </c>
      <c r="N94" s="26" t="s">
        <v>209</v>
      </c>
      <c r="O94" s="20">
        <v>1.84</v>
      </c>
    </row>
    <row r="95" spans="13:15" x14ac:dyDescent="0.55000000000000004">
      <c r="M95">
        <v>93</v>
      </c>
      <c r="N95" s="26" t="s">
        <v>210</v>
      </c>
      <c r="O95" s="80">
        <v>0.94</v>
      </c>
    </row>
    <row r="96" spans="13:15" x14ac:dyDescent="0.55000000000000004">
      <c r="M96">
        <v>94</v>
      </c>
      <c r="N96" s="25" t="s">
        <v>16</v>
      </c>
      <c r="O96" s="20">
        <v>1.7</v>
      </c>
    </row>
    <row r="97" spans="13:15" x14ac:dyDescent="0.55000000000000004">
      <c r="M97">
        <v>95</v>
      </c>
      <c r="N97" s="25" t="s">
        <v>17</v>
      </c>
      <c r="O97" s="20">
        <v>1.04</v>
      </c>
    </row>
    <row r="98" spans="13:15" x14ac:dyDescent="0.55000000000000004">
      <c r="M98">
        <v>96</v>
      </c>
      <c r="N98" s="25" t="s">
        <v>211</v>
      </c>
      <c r="O98" s="20">
        <v>0.91</v>
      </c>
    </row>
    <row r="99" spans="13:15" x14ac:dyDescent="0.55000000000000004">
      <c r="M99">
        <v>97</v>
      </c>
      <c r="N99" s="25" t="s">
        <v>212</v>
      </c>
      <c r="O99" s="20">
        <v>2.04</v>
      </c>
    </row>
    <row r="100" spans="13:15" x14ac:dyDescent="0.55000000000000004">
      <c r="M100">
        <v>98</v>
      </c>
      <c r="N100" s="25" t="s">
        <v>18</v>
      </c>
      <c r="O100" s="20">
        <v>1.8</v>
      </c>
    </row>
    <row r="101" spans="13:15" x14ac:dyDescent="0.55000000000000004">
      <c r="M101">
        <v>99</v>
      </c>
      <c r="N101" s="25" t="s">
        <v>213</v>
      </c>
      <c r="O101" s="20">
        <v>1.1000000000000001</v>
      </c>
    </row>
    <row r="102" spans="13:15" x14ac:dyDescent="0.55000000000000004">
      <c r="M102">
        <v>100</v>
      </c>
      <c r="N102" s="25" t="s">
        <v>214</v>
      </c>
      <c r="O102" s="80">
        <v>1.1399999999999999</v>
      </c>
    </row>
    <row r="103" spans="13:15" x14ac:dyDescent="0.55000000000000004">
      <c r="M103">
        <v>101</v>
      </c>
      <c r="N103" s="26" t="s">
        <v>383</v>
      </c>
      <c r="O103" s="80">
        <v>1.17</v>
      </c>
    </row>
    <row r="104" spans="13:15" x14ac:dyDescent="0.55000000000000004">
      <c r="M104">
        <v>102</v>
      </c>
      <c r="N104" s="25" t="s">
        <v>215</v>
      </c>
      <c r="O104" s="80">
        <v>1.1200000000000001</v>
      </c>
    </row>
    <row r="105" spans="13:15" x14ac:dyDescent="0.55000000000000004">
      <c r="M105">
        <v>103</v>
      </c>
      <c r="N105" s="25" t="s">
        <v>19</v>
      </c>
      <c r="O105" s="80">
        <v>1.0900000000000001</v>
      </c>
    </row>
    <row r="106" spans="13:15" x14ac:dyDescent="0.55000000000000004">
      <c r="M106">
        <v>104</v>
      </c>
      <c r="N106" s="25" t="s">
        <v>216</v>
      </c>
      <c r="O106" s="20">
        <v>3.59</v>
      </c>
    </row>
    <row r="107" spans="13:15" x14ac:dyDescent="0.55000000000000004">
      <c r="M107">
        <v>105</v>
      </c>
      <c r="N107" s="25" t="s">
        <v>217</v>
      </c>
      <c r="O107" s="20">
        <v>0.86</v>
      </c>
    </row>
    <row r="108" spans="13:15" x14ac:dyDescent="0.55000000000000004">
      <c r="M108">
        <v>106</v>
      </c>
      <c r="N108" s="25" t="s">
        <v>20</v>
      </c>
      <c r="O108" s="80">
        <v>1.26</v>
      </c>
    </row>
    <row r="109" spans="13:15" x14ac:dyDescent="0.55000000000000004">
      <c r="M109">
        <v>107</v>
      </c>
      <c r="N109" s="25" t="s">
        <v>218</v>
      </c>
      <c r="O109" s="20">
        <v>0.8</v>
      </c>
    </row>
    <row r="110" spans="13:15" x14ac:dyDescent="0.55000000000000004">
      <c r="M110">
        <v>108</v>
      </c>
      <c r="N110" s="25" t="s">
        <v>219</v>
      </c>
      <c r="O110" s="20">
        <v>1.1000000000000001</v>
      </c>
    </row>
    <row r="111" spans="13:15" x14ac:dyDescent="0.55000000000000004">
      <c r="M111">
        <v>109</v>
      </c>
      <c r="N111" s="25" t="s">
        <v>220</v>
      </c>
      <c r="O111" s="80">
        <v>0.93</v>
      </c>
    </row>
    <row r="112" spans="13:15" x14ac:dyDescent="0.55000000000000004">
      <c r="M112">
        <v>110</v>
      </c>
      <c r="N112" s="25" t="s">
        <v>221</v>
      </c>
      <c r="O112" s="20">
        <v>3.42</v>
      </c>
    </row>
    <row r="113" spans="13:15" x14ac:dyDescent="0.55000000000000004">
      <c r="M113">
        <v>111</v>
      </c>
      <c r="N113" s="25" t="s">
        <v>21</v>
      </c>
      <c r="O113" s="20">
        <v>1.1200000000000001</v>
      </c>
    </row>
    <row r="114" spans="13:15" x14ac:dyDescent="0.55000000000000004">
      <c r="M114">
        <v>112</v>
      </c>
      <c r="N114" s="25" t="s">
        <v>222</v>
      </c>
      <c r="O114" s="80">
        <v>1.01</v>
      </c>
    </row>
    <row r="115" spans="13:15" x14ac:dyDescent="0.55000000000000004">
      <c r="M115">
        <v>113</v>
      </c>
      <c r="N115" s="25" t="s">
        <v>223</v>
      </c>
      <c r="O115" s="80">
        <v>0.86</v>
      </c>
    </row>
    <row r="116" spans="13:15" x14ac:dyDescent="0.55000000000000004">
      <c r="M116">
        <v>114</v>
      </c>
      <c r="N116" s="25" t="s">
        <v>224</v>
      </c>
      <c r="O116" s="20">
        <v>0.82</v>
      </c>
    </row>
    <row r="117" spans="13:15" x14ac:dyDescent="0.55000000000000004">
      <c r="M117">
        <v>115</v>
      </c>
      <c r="N117" s="25" t="s">
        <v>225</v>
      </c>
      <c r="O117" s="20">
        <v>1.22</v>
      </c>
    </row>
    <row r="118" spans="13:15" x14ac:dyDescent="0.55000000000000004">
      <c r="M118">
        <v>116</v>
      </c>
      <c r="N118" s="25" t="s">
        <v>226</v>
      </c>
      <c r="O118" s="20">
        <v>1.01</v>
      </c>
    </row>
    <row r="119" spans="13:15" x14ac:dyDescent="0.55000000000000004">
      <c r="M119">
        <v>117</v>
      </c>
      <c r="N119" s="25" t="s">
        <v>227</v>
      </c>
      <c r="O119" s="20">
        <v>1.38</v>
      </c>
    </row>
    <row r="120" spans="13:15" x14ac:dyDescent="0.55000000000000004">
      <c r="M120">
        <v>118</v>
      </c>
      <c r="N120" s="25" t="s">
        <v>22</v>
      </c>
      <c r="O120" s="20">
        <v>1.1599999999999999</v>
      </c>
    </row>
    <row r="121" spans="13:15" x14ac:dyDescent="0.55000000000000004">
      <c r="M121">
        <v>119</v>
      </c>
      <c r="N121" s="25" t="s">
        <v>228</v>
      </c>
      <c r="O121" s="20">
        <v>0.86</v>
      </c>
    </row>
    <row r="122" spans="13:15" x14ac:dyDescent="0.55000000000000004">
      <c r="M122">
        <v>120</v>
      </c>
      <c r="N122" s="25" t="s">
        <v>6</v>
      </c>
      <c r="O122" s="20">
        <v>1.23</v>
      </c>
    </row>
    <row r="123" spans="13:15" x14ac:dyDescent="0.55000000000000004">
      <c r="M123">
        <v>121</v>
      </c>
      <c r="N123" s="25" t="s">
        <v>229</v>
      </c>
      <c r="O123" s="20">
        <v>1.19</v>
      </c>
    </row>
    <row r="124" spans="13:15" x14ac:dyDescent="0.55000000000000004">
      <c r="M124">
        <v>122</v>
      </c>
      <c r="N124" s="25" t="s">
        <v>230</v>
      </c>
      <c r="O124" s="20">
        <v>1.23</v>
      </c>
    </row>
    <row r="125" spans="13:15" x14ac:dyDescent="0.55000000000000004">
      <c r="M125">
        <v>123</v>
      </c>
      <c r="N125" s="25" t="s">
        <v>231</v>
      </c>
      <c r="O125" s="20">
        <v>0.74</v>
      </c>
    </row>
    <row r="126" spans="13:15" x14ac:dyDescent="0.55000000000000004">
      <c r="M126">
        <v>124</v>
      </c>
      <c r="N126" s="25" t="s">
        <v>232</v>
      </c>
      <c r="O126" s="20">
        <v>1.02</v>
      </c>
    </row>
    <row r="127" spans="13:15" x14ac:dyDescent="0.55000000000000004">
      <c r="M127">
        <v>125</v>
      </c>
      <c r="N127" s="25" t="s">
        <v>233</v>
      </c>
      <c r="O127" s="80">
        <v>0.99</v>
      </c>
    </row>
    <row r="128" spans="13:15" x14ac:dyDescent="0.55000000000000004">
      <c r="M128">
        <v>126</v>
      </c>
      <c r="N128" s="26" t="s">
        <v>23</v>
      </c>
      <c r="O128" s="24">
        <v>1.1200000000000001</v>
      </c>
    </row>
    <row r="129" spans="13:15" x14ac:dyDescent="0.55000000000000004">
      <c r="M129">
        <v>127</v>
      </c>
      <c r="N129" s="25" t="s">
        <v>234</v>
      </c>
      <c r="O129" s="28">
        <v>1.19</v>
      </c>
    </row>
    <row r="130" spans="13:15" x14ac:dyDescent="0.55000000000000004">
      <c r="M130">
        <v>128</v>
      </c>
      <c r="N130" s="25" t="s">
        <v>235</v>
      </c>
      <c r="O130" s="20">
        <v>0.93</v>
      </c>
    </row>
  </sheetData>
  <mergeCells count="1">
    <mergeCell ref="D45:F4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2E65-2197-475A-B3D1-DFD1F1237B73}">
  <sheetPr codeName="Sheet3"/>
  <dimension ref="A1"/>
  <sheetViews>
    <sheetView workbookViewId="0">
      <selection activeCell="F22" sqref="F22"/>
    </sheetView>
  </sheetViews>
  <sheetFormatPr defaultRowHeight="14.4" x14ac:dyDescent="0.55000000000000004"/>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B9"/>
  <sheetViews>
    <sheetView showGridLines="0" zoomScale="40" zoomScaleNormal="40" workbookViewId="0">
      <selection activeCell="F22" sqref="F22"/>
    </sheetView>
  </sheetViews>
  <sheetFormatPr defaultColWidth="80.68359375" defaultRowHeight="327" customHeight="1" x14ac:dyDescent="0.55000000000000004"/>
  <sheetData>
    <row r="1" spans="2:2" ht="327" customHeight="1" x14ac:dyDescent="3.25">
      <c r="B1" s="75">
        <v>1</v>
      </c>
    </row>
    <row r="2" spans="2:2" ht="327" customHeight="1" x14ac:dyDescent="3.25">
      <c r="B2" s="75">
        <v>2</v>
      </c>
    </row>
    <row r="3" spans="2:2" ht="327" customHeight="1" x14ac:dyDescent="3.25">
      <c r="B3" s="75">
        <v>3</v>
      </c>
    </row>
    <row r="4" spans="2:2" ht="327" customHeight="1" x14ac:dyDescent="3.25">
      <c r="B4" s="75">
        <v>4</v>
      </c>
    </row>
    <row r="5" spans="2:2" ht="327" customHeight="1" x14ac:dyDescent="3.25">
      <c r="B5" s="75">
        <v>5</v>
      </c>
    </row>
    <row r="6" spans="2:2" ht="327" customHeight="1" x14ac:dyDescent="3.25">
      <c r="B6" s="75">
        <v>6</v>
      </c>
    </row>
    <row r="7" spans="2:2" ht="327" customHeight="1" x14ac:dyDescent="3.25">
      <c r="B7" s="75">
        <v>7</v>
      </c>
    </row>
    <row r="8" spans="2:2" ht="327" customHeight="1" x14ac:dyDescent="3.25">
      <c r="B8" s="75">
        <v>8</v>
      </c>
    </row>
    <row r="9" spans="2:2" ht="327" customHeight="1" x14ac:dyDescent="3.25">
      <c r="B9" s="75">
        <v>9</v>
      </c>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Introduction</vt:lpstr>
      <vt:lpstr>Sheet4</vt:lpstr>
      <vt:lpstr>FloorPlans</vt:lpstr>
      <vt:lpstr>COS</vt:lpstr>
      <vt:lpstr>DONOTTOUCH</vt:lpstr>
      <vt:lpstr>envelope</vt:lpstr>
      <vt:lpstr>DropdownsDNT</vt:lpstr>
      <vt:lpstr>Sheet1</vt:lpstr>
      <vt:lpstr>Roofs</vt:lpstr>
      <vt:lpstr>Project_Data_Input</vt:lpstr>
      <vt:lpstr>CommentsRevisions</vt:lpstr>
      <vt:lpstr>COS!Print_Area</vt:lpstr>
    </vt:vector>
  </TitlesOfParts>
  <Company>United States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JRB</dc:creator>
  <cp:lastModifiedBy>Ayala, Ivelisse  (Evy) CIV USARMY CETAM (USA)</cp:lastModifiedBy>
  <cp:lastPrinted>2019-01-16T13:45:39Z</cp:lastPrinted>
  <dcterms:created xsi:type="dcterms:W3CDTF">2017-05-24T16:01:16Z</dcterms:created>
  <dcterms:modified xsi:type="dcterms:W3CDTF">2025-01-29T19:42:42Z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